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XAMCq0EeqeWCLW0fUWQR5rQRwpke2KpCML2/9rKBNdetQgpqf8ZiCSExDJk6bwnt8wayTC1HFNBKYJ0zM622EA==" workbookSaltValue="7VNRcmvGjGIG0Wk1ATbJ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8"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S17" i="17"/>
  <c r="L13" i="2"/>
  <c r="X16" i="16"/>
  <c r="X20" i="16" s="1"/>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AY20" i="8"/>
  <c r="D20" i="7"/>
  <c r="R21" i="8"/>
  <c r="H12" i="2"/>
  <c r="BG10" i="8"/>
  <c r="F13" i="2"/>
  <c r="M20" i="2"/>
  <c r="N20" i="2"/>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X12" i="21"/>
  <c r="AP17" i="20"/>
  <c r="BL19" i="11"/>
  <c r="BK13"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9" i="16"/>
  <c r="BL9" i="11"/>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<sst xmlns="http://schemas.openxmlformats.org/spreadsheetml/2006/main" count="2229" uniqueCount="979">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</sst>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wr3ka1xNcLxhgn18RI/6Rdd9DYI01FXCOQaVAS+ARoVLWmBGu9NzYHXtmbDe1kU3sd5GW2hOxuUk9vciielA==" saltValue="SRD8Qg+zF/5tCz+e1R/2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19</v>
      </c>
      <c r="D10" s="230">
        <f>IF(ISNUMBER(Datos!I10),Datos!I10," - ")</f>
        <v>19</v>
      </c>
      <c r="E10" s="231">
        <f>IF(ISNUMBER(Datos!J10),Datos!J10," - ")</f>
        <v>4</v>
      </c>
      <c r="F10" s="231">
        <f>IF(ISNUMBER(Datos!K10),Datos!K10," - ")</f>
        <v>8</v>
      </c>
      <c r="G10" s="1193" t="str">
        <f>IF(Datos!E10&lt;&gt;"",Datos!E10,Datos!D10)</f>
        <v>37</v>
      </c>
      <c r="H10" s="232">
        <f>IF(ISNUMBER(Datos!L10),Datos!L10," - ")</f>
        <v>15</v>
      </c>
      <c r="I10" s="1203" t="str">
        <f>IF(ISNUMBER(Datos!AS10/Datos!BM10),Datos!AS10/Datos!BM10," - ")</f>
        <v xml:space="preserve"> - </v>
      </c>
      <c r="J10" s="1204">
        <f>IF(ISNUMBER(Datos!BY10/Datos!CN10),Datos!BY10/Datos!CN10," - ")</f>
        <v>0</v>
      </c>
      <c r="K10" s="235">
        <f t="shared" ref="K10:K13" si="1">IF(ISNUMBER((E10-F10)/C10),(E10-F10)/C10," - ")</f>
        <v>-0.21052631578947367</v>
      </c>
      <c r="L10" s="1205">
        <f>IF(ISNUMBER(NºAsuntos!I10/NºAsuntos!G10),(NºAsuntos!I10/NºAsuntos!G10)*11," - ")</f>
        <v>20.625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22.280135823429539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19</v>
      </c>
      <c r="D14" s="1210">
        <f>SUBTOTAL(9,D9:D13)</f>
        <v>19</v>
      </c>
      <c r="E14" s="1211">
        <f>SUBTOTAL(9,E9:E13)</f>
        <v>4</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720</v>
      </c>
      <c r="D17" s="230">
        <f>IF(ISNUMBER(IF(D_I="SI",Datos!I17,Datos!I17+Datos!AC17)),IF(D_I="SI",Datos!I17,Datos!I17+Datos!AC17)," - ")</f>
        <v>702</v>
      </c>
      <c r="E17" s="231">
        <f>IF(ISNUMBER(IF(D_I="SI",Datos!J17,Datos!J17+Datos!AD17)),IF(D_I="SI",Datos!J17,Datos!J17+Datos!AD17)," - ")</f>
        <v>790</v>
      </c>
      <c r="F17" s="231">
        <f>IF(ISNUMBER(IF(D_I="SI",Datos!K17,Datos!K17+Datos!AE17)),IF(D_I="SI",Datos!K17,Datos!K17+Datos!AE17)," - ")</f>
        <v>712</v>
      </c>
      <c r="G17" s="1193" t="str">
        <f>IF(Datos!E17&lt;&gt;"",Datos!E17,Datos!D17)</f>
        <v>04</v>
      </c>
      <c r="H17" s="232">
        <f>IF(ISNUMBER(IF(D_I="SI",Datos!L17,Datos!L17+Datos!AF17)),IF(D_I="SI",Datos!L17,Datos!L17+Datos!AF17)," - ")</f>
        <v>798</v>
      </c>
      <c r="I17" s="1203" t="str">
        <f>IF(ISNUMBER(Datos!AS17/Datos!BM17),Datos!AS17/Datos!BM17," - ")</f>
        <v xml:space="preserve"> - </v>
      </c>
      <c r="J17" s="1204">
        <f>IF(ISNUMBER(Datos!BY17/Datos!CN17),Datos!BY17/Datos!CN17," - ")</f>
        <v>0</v>
      </c>
      <c r="K17" s="235">
        <f t="shared" si="3"/>
        <v>0.10833333333333334</v>
      </c>
      <c r="L17" s="1205">
        <f>IF(ISNUMBER(NºAsuntos!I17/NºAsuntos!G17),(NºAsuntos!I17/NºAsuntos!G17)*11," - ")</f>
        <v>12.328651685393259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103</v>
      </c>
      <c r="D18" s="230">
        <f>IF(ISNUMBER(IF(D_I="SI",Datos!I18,Datos!I18+Datos!AC18)),IF(D_I="SI",Datos!I18,Datos!I18+Datos!AC18)," - ")</f>
        <v>103</v>
      </c>
      <c r="E18" s="231">
        <f>IF(ISNUMBER(IF(D_I="SI",Datos!J18,Datos!J18+Datos!AD18)),IF(D_I="SI",Datos!J18,Datos!J18+Datos!AD18)," - ")</f>
        <v>70</v>
      </c>
      <c r="F18" s="231">
        <f>IF(ISNUMBER(IF(D_I="SI",Datos!K18,Datos!K18+Datos!AE18)),IF(D_I="SI",Datos!K18,Datos!K18+Datos!AE18)," - ")</f>
        <v>89</v>
      </c>
      <c r="G18" s="1193" t="str">
        <f>IF(Datos!E18&lt;&gt;"",Datos!E18,Datos!D18)</f>
        <v>37</v>
      </c>
      <c r="H18" s="232">
        <f>IF(ISNUMBER(IF(D_I="SI",Datos!L18,Datos!L18+Datos!AF18)),IF(D_I="SI",Datos!L18,Datos!L18+Datos!AF18)," - ")</f>
        <v>84</v>
      </c>
      <c r="I18" s="1203" t="str">
        <f>IF(ISNUMBER(Datos!AS18/Datos!BM18),Datos!AS18/Datos!BM18," - ")</f>
        <v xml:space="preserve"> - </v>
      </c>
      <c r="J18" s="1204" t="str">
        <f>IF(ISNUMBER((Datos!BY18+Datos!BZ18)/Datos!CN18),(Datos!BY18+Datos!BZ18)/Datos!CN18," - ")</f>
        <v xml:space="preserve"> - </v>
      </c>
      <c r="K18" s="235">
        <f t="shared" si="3"/>
        <v>-0.18446601941747573</v>
      </c>
      <c r="L18" s="1205">
        <f>IF(ISNUMBER(NºAsuntos!I18/NºAsuntos!G18),(NºAsuntos!I18/NºAsuntos!G18)*11," - ")</f>
        <v>10.382022471910112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823</v>
      </c>
      <c r="D20" s="1210">
        <f>SUBTOTAL(9,D16:D19)</f>
        <v>805</v>
      </c>
      <c r="E20" s="1211">
        <f>SUBTOTAL(9,E16:E19)</f>
        <v>860</v>
      </c>
      <c r="F20" s="1211">
        <f>SUBTOTAL(9,F16:F19)</f>
        <v>801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842</v>
      </c>
      <c r="D21" s="1232">
        <f>SUBTOTAL(9,D9:D20)</f>
        <v>824</v>
      </c>
      <c r="E21" s="1233">
        <f>SUBTOTAL(9,E9:E20)</f>
        <v>864</v>
      </c>
      <c r="F21" s="1233">
        <f>SUBTOTAL(9,F9:F20)</f>
        <v>809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eDl13K3NmclbLfU0f/2L0o1PXKn3azPJgZLV988o9NP3ynMcu0FVIcW22k3RM6SnVcFV7wlRN9MarhHiWnX0Q==" saltValue="cnerxcNx0YdqeTddcFKFl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Z5an3H4FF9K3reLAIBVey1FAX3rWuXpNo/yBTqJpYQXnIdccYG8YqYnhwd08FWmviNAfrwjZnqnQ27e3/3QEnA==" saltValue="ovlSM9n6jRSLqANT//4W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19</v>
      </c>
      <c r="J10" s="186">
        <v>4</v>
      </c>
      <c r="K10" s="186">
        <v>8</v>
      </c>
      <c r="L10" s="186">
        <v>15</v>
      </c>
      <c r="M10" s="186">
        <v>8</v>
      </c>
      <c r="N10" s="186">
        <v>0</v>
      </c>
      <c r="O10" s="186">
        <v>0</v>
      </c>
      <c r="P10" s="186">
        <v>0</v>
      </c>
      <c r="Q10" s="186">
        <v>0</v>
      </c>
      <c r="R10" s="186">
        <v>7</v>
      </c>
      <c r="S10" s="186">
        <v>11</v>
      </c>
      <c r="T10" s="186">
        <v>3</v>
      </c>
      <c r="U10" s="186">
        <v>3</v>
      </c>
      <c r="V10" s="186">
        <v>11</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3</v>
      </c>
      <c r="BA10" s="131">
        <f t="shared" si="0"/>
        <v>3</v>
      </c>
      <c r="BB10" s="131">
        <f t="shared" si="0"/>
        <v>11</v>
      </c>
      <c r="BC10" s="127">
        <f t="shared" si="0"/>
        <v>3</v>
      </c>
      <c r="BD10" s="128">
        <f>IF(ISNUMBER(BA10/AZ10),BA10/AZ10," - ")</f>
        <v>1</v>
      </c>
      <c r="BE10" s="129">
        <f>IF(ISNUMBER(BB10/BA10),BB10/BA10, " - ")</f>
        <v>3.6666666666666665</v>
      </c>
      <c r="BF10" s="129">
        <f>IF(ISNUMBER(BC10/BA10),BC10/BA10, " - ")</f>
        <v>1</v>
      </c>
      <c r="BG10" s="201">
        <f>IF(ISNUMBER((AY10+AZ10)/BA10),(AY10+AZ10)/BA10," - ")</f>
        <v>4.666666666666667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1081</v>
      </c>
      <c r="J12" s="188">
        <v>563</v>
      </c>
      <c r="K12" s="188">
        <v>533</v>
      </c>
      <c r="L12" s="188">
        <v>1111</v>
      </c>
      <c r="M12" s="188">
        <v>158</v>
      </c>
      <c r="N12" s="188">
        <v>178</v>
      </c>
      <c r="O12" s="186">
        <v>358</v>
      </c>
      <c r="P12" s="188">
        <v>175</v>
      </c>
      <c r="Q12" s="188">
        <v>176</v>
      </c>
      <c r="R12" s="188">
        <v>906</v>
      </c>
      <c r="S12" s="188">
        <v>812</v>
      </c>
      <c r="T12" s="188">
        <v>486</v>
      </c>
      <c r="U12" s="188">
        <v>380</v>
      </c>
      <c r="V12" s="188">
        <v>918</v>
      </c>
      <c r="W12" s="188">
        <v>115</v>
      </c>
      <c r="X12" s="194">
        <v>125</v>
      </c>
      <c r="Y12" s="196">
        <v>55</v>
      </c>
      <c r="Z12" s="186">
        <v>83</v>
      </c>
      <c r="AA12" s="186">
        <v>56</v>
      </c>
      <c r="AB12" s="186">
        <v>82</v>
      </c>
      <c r="AC12" s="188">
        <v>0</v>
      </c>
      <c r="AD12" s="188">
        <v>0</v>
      </c>
      <c r="AE12" s="188">
        <v>0</v>
      </c>
      <c r="AF12" s="194">
        <v>0</v>
      </c>
      <c r="AG12" s="207">
        <v>55</v>
      </c>
      <c r="AH12" s="188">
        <v>47</v>
      </c>
      <c r="AI12" s="188">
        <v>42</v>
      </c>
      <c r="AJ12" s="208">
        <v>60</v>
      </c>
      <c r="AK12" s="187">
        <v>0</v>
      </c>
      <c r="AL12" s="188">
        <v>0</v>
      </c>
      <c r="AM12" s="188">
        <v>0</v>
      </c>
      <c r="AN12" s="194">
        <v>0</v>
      </c>
      <c r="AO12" s="264">
        <v>2</v>
      </c>
      <c r="AP12" s="160">
        <v>2</v>
      </c>
      <c r="AQ12" s="160">
        <v>2</v>
      </c>
      <c r="AR12" s="159">
        <v>2</v>
      </c>
      <c r="AS12" s="350" t="s">
        <v>874</v>
      </c>
      <c r="AT12" s="208"/>
      <c r="AU12" s="207"/>
      <c r="AV12" s="208"/>
      <c r="AW12" s="207"/>
      <c r="AX12" s="208"/>
      <c r="AY12" s="128">
        <f t="shared" si="1"/>
        <v>867</v>
      </c>
      <c r="AZ12" s="129">
        <f t="shared" si="1"/>
        <v>533</v>
      </c>
      <c r="BA12" s="129">
        <f t="shared" si="1"/>
        <v>422</v>
      </c>
      <c r="BB12" s="129">
        <f t="shared" si="1"/>
        <v>978</v>
      </c>
      <c r="BC12" s="127">
        <f>IF(ISNUMBER(X12),X12," - ")</f>
        <v>125</v>
      </c>
      <c r="BD12" s="128">
        <f t="shared" si="2"/>
        <v>0.79174484052532834</v>
      </c>
      <c r="BE12" s="129">
        <f t="shared" si="3"/>
        <v>2.3175355450236967</v>
      </c>
      <c r="BF12" s="129">
        <f t="shared" si="4"/>
        <v>0.29620853080568721</v>
      </c>
      <c r="BG12" s="201">
        <f t="shared" si="5"/>
        <v>3.3175355450236967</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1100</v>
      </c>
      <c r="J14" s="189">
        <f t="shared" si="7"/>
        <v>567</v>
      </c>
      <c r="K14" s="189">
        <f t="shared" si="7"/>
        <v>541</v>
      </c>
      <c r="L14" s="189">
        <f t="shared" si="7"/>
        <v>1126</v>
      </c>
      <c r="M14" s="189">
        <f t="shared" si="7"/>
        <v>166</v>
      </c>
      <c r="N14" s="189">
        <f t="shared" si="7"/>
        <v>178</v>
      </c>
      <c r="O14" s="189">
        <f t="shared" si="7"/>
        <v>358</v>
      </c>
      <c r="P14" s="189">
        <f t="shared" si="7"/>
        <v>175</v>
      </c>
      <c r="Q14" s="189">
        <f t="shared" si="7"/>
        <v>176</v>
      </c>
      <c r="R14" s="189">
        <f t="shared" si="7"/>
        <v>913</v>
      </c>
      <c r="S14" s="189">
        <f t="shared" si="7"/>
        <v>823</v>
      </c>
      <c r="T14" s="189">
        <f t="shared" si="7"/>
        <v>489</v>
      </c>
      <c r="U14" s="189">
        <f t="shared" si="7"/>
        <v>383</v>
      </c>
      <c r="V14" s="189">
        <f t="shared" si="7"/>
        <v>929</v>
      </c>
      <c r="W14" s="189">
        <f t="shared" si="7"/>
        <v>118</v>
      </c>
      <c r="X14" s="189">
        <f t="shared" si="7"/>
        <v>125</v>
      </c>
      <c r="Y14" s="189">
        <f t="shared" si="7"/>
        <v>55</v>
      </c>
      <c r="Z14" s="189">
        <f t="shared" si="7"/>
        <v>83</v>
      </c>
      <c r="AA14" s="189">
        <f t="shared" si="7"/>
        <v>56</v>
      </c>
      <c r="AB14" s="189">
        <f t="shared" si="7"/>
        <v>82</v>
      </c>
      <c r="AC14" s="189">
        <f t="shared" si="7"/>
        <v>0</v>
      </c>
      <c r="AD14" s="189">
        <f t="shared" si="7"/>
        <v>0</v>
      </c>
      <c r="AE14" s="189">
        <f t="shared" si="7"/>
        <v>0</v>
      </c>
      <c r="AF14" s="189">
        <f>SUBTOTAL(9,AF9:AF13)</f>
        <v>0</v>
      </c>
      <c r="AG14" s="189">
        <f t="shared" ref="AG14:AT14" si="8">SUBTOTAL(9,AG8:AG13)</f>
        <v>55</v>
      </c>
      <c r="AH14" s="189">
        <f t="shared" si="8"/>
        <v>47</v>
      </c>
      <c r="AI14" s="189">
        <f t="shared" si="8"/>
        <v>42</v>
      </c>
      <c r="AJ14" s="189">
        <f t="shared" si="8"/>
        <v>60</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878</v>
      </c>
      <c r="AZ14" s="189">
        <f>SUBTOTAL(9,AZ8:AZ13)</f>
        <v>536</v>
      </c>
      <c r="BA14" s="189">
        <f>SUBTOTAL(9,BA8:BA13)</f>
        <v>425</v>
      </c>
      <c r="BB14" s="189">
        <f>SUBTOTAL(9,BB8:BB13)</f>
        <v>989</v>
      </c>
      <c r="BC14" s="189">
        <f>SUBTOTAL(9,BC8:BC13)</f>
        <v>128</v>
      </c>
      <c r="BD14" s="210">
        <f>IF(ISNUMBER(BA14/AZ14),BA14/AZ14," - ")</f>
        <v>0.79291044776119401</v>
      </c>
      <c r="BE14" s="211">
        <f>IF(ISNUMBER(BB14/BA14),BB14/BA14, " - ")</f>
        <v>2.3270588235294118</v>
      </c>
      <c r="BF14" s="211">
        <f>IF(ISNUMBER(BC14/BA14),BC14/BA14, " - ")</f>
        <v>0.30117647058823527</v>
      </c>
      <c r="BG14" s="212">
        <f>IF(ISNUMBER((AY14+AZ14)/BA14),(AY14+AZ14)/BA14," - ")</f>
        <v>3.3270588235294118</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702</v>
      </c>
      <c r="J17" s="188">
        <v>790</v>
      </c>
      <c r="K17" s="188">
        <v>712</v>
      </c>
      <c r="L17" s="188">
        <v>798</v>
      </c>
      <c r="M17" s="188">
        <v>52</v>
      </c>
      <c r="N17" s="188">
        <v>407</v>
      </c>
      <c r="O17" s="186">
        <v>21</v>
      </c>
      <c r="P17" s="188">
        <v>30</v>
      </c>
      <c r="Q17" s="188">
        <v>26</v>
      </c>
      <c r="R17" s="188">
        <v>132</v>
      </c>
      <c r="S17" s="188">
        <v>762</v>
      </c>
      <c r="T17" s="188">
        <v>775</v>
      </c>
      <c r="U17" s="188">
        <v>762</v>
      </c>
      <c r="V17" s="188">
        <v>775</v>
      </c>
      <c r="W17" s="188">
        <v>106</v>
      </c>
      <c r="X17" s="194">
        <v>461</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762</v>
      </c>
      <c r="AZ17" s="129">
        <f t="shared" si="10"/>
        <v>775</v>
      </c>
      <c r="BA17" s="129">
        <f t="shared" si="10"/>
        <v>762</v>
      </c>
      <c r="BB17" s="129">
        <f t="shared" si="10"/>
        <v>775</v>
      </c>
      <c r="BC17" s="127">
        <f>IF(ISNUMBER(W17),W17," - ")</f>
        <v>106</v>
      </c>
      <c r="BD17" s="128">
        <f t="shared" ref="BD17:BD19" si="12">IF(ISNUMBER(BA17/AZ17),BA17/AZ17," - ")</f>
        <v>0.98322580645161295</v>
      </c>
      <c r="BE17" s="129">
        <f t="shared" ref="BE17:BE19" si="13">IF(ISNUMBER(BB17/BA17),BB17/BA17, " - ")</f>
        <v>1.0170603674540681</v>
      </c>
      <c r="BF17" s="129">
        <f t="shared" ref="BF17:BF19" si="14">IF(ISNUMBER(BC17/BA17),BC17/BA17, " - ")</f>
        <v>0.13910761154855644</v>
      </c>
      <c r="BG17" s="201">
        <f t="shared" si="11"/>
        <v>2.0170603674540684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103</v>
      </c>
      <c r="J18" s="188">
        <v>70</v>
      </c>
      <c r="K18" s="188">
        <v>89</v>
      </c>
      <c r="L18" s="188">
        <v>84</v>
      </c>
      <c r="M18" s="188">
        <v>9</v>
      </c>
      <c r="N18" s="188">
        <v>48</v>
      </c>
      <c r="O18" s="188">
        <v>0</v>
      </c>
      <c r="P18" s="188">
        <v>0</v>
      </c>
      <c r="Q18" s="188">
        <v>0</v>
      </c>
      <c r="R18" s="188">
        <v>4</v>
      </c>
      <c r="S18" s="188">
        <v>74</v>
      </c>
      <c r="T18" s="188">
        <v>81</v>
      </c>
      <c r="U18" s="188">
        <v>78</v>
      </c>
      <c r="V18" s="188">
        <v>77</v>
      </c>
      <c r="W18" s="188">
        <v>9</v>
      </c>
      <c r="X18" s="194">
        <v>44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74</v>
      </c>
      <c r="AZ18" s="131">
        <f t="shared" si="15"/>
        <v>81</v>
      </c>
      <c r="BA18" s="131">
        <f t="shared" si="15"/>
        <v>78</v>
      </c>
      <c r="BB18" s="131">
        <f t="shared" si="15"/>
        <v>77</v>
      </c>
      <c r="BC18" s="127">
        <f>IF(ISNUMBER(W18),W18," - ")</f>
        <v>9</v>
      </c>
      <c r="BD18" s="128">
        <f>IF(ISNUMBER(BA18/AZ18),BA18/AZ18," - ")</f>
        <v>0.96296296296296291</v>
      </c>
      <c r="BE18" s="129">
        <f>IF(ISNUMBER(BB18/BA18),BB18/BA18, " - ")</f>
        <v>0.98717948717948723</v>
      </c>
      <c r="BF18" s="129">
        <f>IF(ISNUMBER(BC18/BA18),BC18/BA18, " - ")</f>
        <v>0.11538461538461539</v>
      </c>
      <c r="BG18" s="201">
        <f>IF(ISNUMBER((AY18+AZ18)/BA18),(AY18+AZ18)/BA18," - ")</f>
        <v>1.9871794871794872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805</v>
      </c>
      <c r="J20" s="189">
        <f t="shared" si="16"/>
        <v>860</v>
      </c>
      <c r="K20" s="189">
        <f t="shared" si="16"/>
        <v>801</v>
      </c>
      <c r="L20" s="189">
        <f t="shared" si="16"/>
        <v>882</v>
      </c>
      <c r="M20" s="189">
        <f t="shared" si="16"/>
        <v>61</v>
      </c>
      <c r="N20" s="189">
        <f t="shared" si="16"/>
        <v>455</v>
      </c>
      <c r="O20" s="189">
        <f t="shared" si="16"/>
        <v>21</v>
      </c>
      <c r="P20" s="189">
        <f t="shared" si="16"/>
        <v>30</v>
      </c>
      <c r="Q20" s="189">
        <f t="shared" si="16"/>
        <v>26</v>
      </c>
      <c r="R20" s="189">
        <f t="shared" si="16"/>
        <v>136</v>
      </c>
      <c r="S20" s="189">
        <f t="shared" si="16"/>
        <v>836</v>
      </c>
      <c r="T20" s="189">
        <f t="shared" si="16"/>
        <v>856</v>
      </c>
      <c r="U20" s="189">
        <f t="shared" si="16"/>
        <v>840</v>
      </c>
      <c r="V20" s="189">
        <f t="shared" si="16"/>
        <v>852</v>
      </c>
      <c r="W20" s="189">
        <f t="shared" si="16"/>
        <v>115</v>
      </c>
      <c r="X20" s="189">
        <f t="shared" si="16"/>
        <v>505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836</v>
      </c>
      <c r="AZ20" s="189">
        <f>SUBTOTAL(9,AZ15:AZ19)</f>
        <v>856</v>
      </c>
      <c r="BA20" s="189">
        <f>SUBTOTAL(9,BA15:BA19)</f>
        <v>840</v>
      </c>
      <c r="BB20" s="189">
        <f>SUBTOTAL(9,BB15:BB19)</f>
        <v>852</v>
      </c>
      <c r="BC20" s="189">
        <f>SUBTOTAL(9,BC15:BC19)</f>
        <v>115</v>
      </c>
      <c r="BD20" s="210">
        <f>IF(ISNUMBER(BA20/AZ20),BA20/AZ20," - ")</f>
        <v>0.98130841121495327</v>
      </c>
      <c r="BE20" s="211">
        <f>IF(ISNUMBER(BB20/BA20),BB20/BA20, " - ")</f>
        <v>1.0142857142857142</v>
      </c>
      <c r="BF20" s="211">
        <f>IF(ISNUMBER(BC20/BA20),BC20/BA20, " - ")</f>
        <v>0.13690476190476192</v>
      </c>
      <c r="BG20" s="212">
        <f>IF(ISNUMBER((AY20+AZ20)/BA20),(AY20+AZ20)/BA20," - ")</f>
        <v>2.0142857142857142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1905</v>
      </c>
      <c r="J21" s="136">
        <f t="shared" si="19"/>
        <v>1427</v>
      </c>
      <c r="K21" s="136">
        <f t="shared" si="19"/>
        <v>1342</v>
      </c>
      <c r="L21" s="136">
        <f t="shared" si="19"/>
        <v>2008</v>
      </c>
      <c r="M21" s="136">
        <f t="shared" si="19"/>
        <v>227</v>
      </c>
      <c r="N21" s="136">
        <f t="shared" si="19"/>
        <v>633</v>
      </c>
      <c r="O21" s="136">
        <f t="shared" si="19"/>
        <v>379</v>
      </c>
      <c r="P21" s="136">
        <f t="shared" si="19"/>
        <v>205</v>
      </c>
      <c r="Q21" s="136">
        <f t="shared" si="19"/>
        <v>202</v>
      </c>
      <c r="R21" s="136">
        <f t="shared" si="19"/>
        <v>1049</v>
      </c>
      <c r="S21" s="136">
        <f t="shared" si="19"/>
        <v>1659</v>
      </c>
      <c r="T21" s="136">
        <f t="shared" si="19"/>
        <v>1345</v>
      </c>
      <c r="U21" s="136">
        <f t="shared" si="19"/>
        <v>1223</v>
      </c>
      <c r="V21" s="136">
        <f t="shared" si="19"/>
        <v>1781</v>
      </c>
      <c r="W21" s="136">
        <f t="shared" si="19"/>
        <v>233</v>
      </c>
      <c r="X21" s="136">
        <f t="shared" si="19"/>
        <v>630</v>
      </c>
      <c r="Y21" s="136">
        <f t="shared" si="19"/>
        <v>55</v>
      </c>
      <c r="Z21" s="136">
        <f t="shared" si="19"/>
        <v>83</v>
      </c>
      <c r="AA21" s="136">
        <f t="shared" si="19"/>
        <v>56</v>
      </c>
      <c r="AB21" s="136">
        <f t="shared" si="19"/>
        <v>82</v>
      </c>
      <c r="AC21" s="136">
        <f t="shared" si="19"/>
        <v>0</v>
      </c>
      <c r="AD21" s="136">
        <f t="shared" si="19"/>
        <v>0</v>
      </c>
      <c r="AE21" s="136">
        <f t="shared" si="19"/>
        <v>0</v>
      </c>
      <c r="AF21" s="136">
        <f t="shared" si="19"/>
        <v>0</v>
      </c>
      <c r="AG21" s="136">
        <f t="shared" si="19"/>
        <v>55</v>
      </c>
      <c r="AH21" s="136">
        <f t="shared" si="19"/>
        <v>47</v>
      </c>
      <c r="AI21" s="136">
        <f t="shared" si="19"/>
        <v>42</v>
      </c>
      <c r="AJ21" s="136">
        <f t="shared" si="19"/>
        <v>60</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1714</v>
      </c>
      <c r="AZ21" s="136">
        <f>SUBTOTAL(9,AZ9:AZ20)</f>
        <v>1392</v>
      </c>
      <c r="BA21" s="136">
        <f>SUBTOTAL(9,BA9:BA20)</f>
        <v>1265</v>
      </c>
      <c r="BB21" s="136">
        <f>SUBTOTAL(9,BB9:BB20)</f>
        <v>1841</v>
      </c>
      <c r="BC21" s="137">
        <f>SUBTOTAL(9,BC9:BC20)</f>
        <v>243</v>
      </c>
      <c r="BD21" s="218">
        <f>IF(ISNUMBER(BA21/AZ21),BA21/AZ21," - ")</f>
        <v>0.90876436781609193</v>
      </c>
      <c r="BE21" s="215">
        <f>IF(ISNUMBER(BB21/BA21),BB21/BA21, " - ")</f>
        <v>1.4553359683794467</v>
      </c>
      <c r="BF21" s="215">
        <f>IF(ISNUMBER(BC21/BA21),BC21/BA21, " - ")</f>
        <v>0.19209486166007905</v>
      </c>
      <c r="BG21" s="137">
        <f>IF(ISNUMBER((AY21+AZ21)/BA21),(AY21+AZ21)/BA21," - ")</f>
        <v>2.4553359683794467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ziguO8kJxgvW6M/E3ZxemjbU/2wIIYDa/cfTr124U6hupoArw03pLTmIgZ80ykLilBnFiZ8DM/CpsDrM8cGAQ==" saltValue="rUPEP92pQbiX8Xi4cNib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wLSk1FLI9MZHL90sBjHaYqy23NU3xbXklnKV4vViMEejMwzwswSZNVSC3tnBfUbf9Su2o0i4cH1qqVXNHQThg==" saltValue="FuqearDX78kz3jJbcpja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LOJA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19</v>
      </c>
      <c r="G10" s="498">
        <f>IF(ISNUMBER(Datos!I10),Datos!I10," - ")</f>
        <v>19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0</v>
      </c>
      <c r="AD10" s="504"/>
      <c r="AE10" s="517"/>
      <c r="AF10" s="506">
        <f>IF(ISNUMBER(Datos!L10),Datos!L10,"-")</f>
        <v>15</v>
      </c>
      <c r="AG10" s="504"/>
      <c r="AH10" s="504"/>
      <c r="AI10" s="504"/>
      <c r="AJ10" s="504"/>
      <c r="AK10" s="504"/>
      <c r="AL10" s="505"/>
      <c r="AM10" s="672">
        <f>IF(ISNUMBER(Datos!R10),Datos!R10," - ")</f>
        <v>7</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8</v>
      </c>
      <c r="BD10" s="620">
        <f>IF(ISNUMBER(Datos!N10),Datos!N10," - ")</f>
        <v>0</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5.625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83</v>
      </c>
      <c r="O12" s="504"/>
      <c r="P12" s="504"/>
      <c r="Q12" s="502">
        <f>IF(ISNUMBER(Datos!P12),Datos!P12,0)</f>
        <v>175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82</v>
      </c>
      <c r="AI12" s="504" t="str">
        <f>IF(ISNUMBER(Datos!CD12),Datos!CD12,"-")</f>
        <v>-</v>
      </c>
      <c r="AJ12" s="504" t="str">
        <f>IF(ISNUMBER(Datos!EN12),Datos!EN12," - ")</f>
        <v xml:space="preserve"> - </v>
      </c>
      <c r="AK12" s="504"/>
      <c r="AL12" s="505"/>
      <c r="AM12" s="672">
        <f>IF(ISNUMBER(Datos!R12),Datos!R12," - ")</f>
        <v>906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158</v>
      </c>
      <c r="BD12" s="620">
        <f>IF(ISNUMBER(Datos!N12),Datos!N12," - ")</f>
        <v>178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0.91176470588235292</v>
      </c>
      <c r="BH12" s="670">
        <f>IF(ISNUMBER(((IF(J_V="SI",Datos!L12/Datos!K12,(Datos!L12+Datos!AB12)/(Datos!K12+Datos!AA12)))*11)/factor_trimestre),((IF(J_V="SI",Datos!L12/Datos!K12,(Datos!L12+Datos!AB12)/(Datos!K12+Datos!AA12)))*11)/factor_trimestre," - ")</f>
        <v>6.076400679117147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-1.1025358324145535E-3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19</v>
      </c>
      <c r="G14" s="1045">
        <f t="shared" si="1"/>
        <v>19</v>
      </c>
      <c r="H14" s="1046">
        <f t="shared" si="1"/>
        <v>0</v>
      </c>
      <c r="I14" s="1045">
        <f t="shared" si="1"/>
        <v>0</v>
      </c>
      <c r="J14" s="1014">
        <f t="shared" si="1"/>
        <v>0</v>
      </c>
      <c r="K14" s="1014">
        <f t="shared" si="1"/>
        <v>0</v>
      </c>
      <c r="L14" s="1046">
        <f t="shared" si="1"/>
        <v>0</v>
      </c>
      <c r="M14" s="1046">
        <f t="shared" si="1"/>
        <v>0</v>
      </c>
      <c r="N14" s="1046">
        <f t="shared" si="1"/>
        <v>83</v>
      </c>
      <c r="O14" s="1047">
        <f t="shared" si="1"/>
        <v>0</v>
      </c>
      <c r="P14" s="1047">
        <f t="shared" si="1"/>
        <v>0</v>
      </c>
      <c r="Q14" s="1046">
        <f t="shared" si="1"/>
        <v>175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176</v>
      </c>
      <c r="AD14" s="1046">
        <f t="shared" si="2"/>
        <v>0</v>
      </c>
      <c r="AE14" s="1046">
        <f t="shared" si="2"/>
        <v>0</v>
      </c>
      <c r="AF14" s="1046">
        <f t="shared" si="2"/>
        <v>15</v>
      </c>
      <c r="AG14" s="1046">
        <f t="shared" si="2"/>
        <v>0</v>
      </c>
      <c r="AH14" s="1046">
        <f t="shared" si="2"/>
        <v>82</v>
      </c>
      <c r="AI14" s="1046">
        <f t="shared" si="2"/>
        <v>0</v>
      </c>
      <c r="AJ14" s="1046">
        <f t="shared" si="2"/>
        <v>0</v>
      </c>
      <c r="AK14" s="1046">
        <f t="shared" si="2"/>
        <v>0</v>
      </c>
      <c r="AL14" s="1046">
        <f t="shared" si="2"/>
        <v>0</v>
      </c>
      <c r="AM14" s="1046">
        <f t="shared" si="2"/>
        <v>913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166</v>
      </c>
      <c r="BD14" s="1046">
        <f t="shared" si="2"/>
        <v>178</v>
      </c>
      <c r="BE14" s="1046">
        <f t="shared" si="2"/>
        <v>0</v>
      </c>
      <c r="BF14" s="1046">
        <f t="shared" si="2"/>
        <v>0</v>
      </c>
      <c r="BG14" s="1046">
        <f>IF(ISNUMBER(Datos!K14/Datos!J14),Datos!K14/Datos!J14," - ")</f>
        <v>0.95414462081128748</v>
      </c>
      <c r="BH14" s="1050">
        <f>IF(ISNUMBER(((Datos!L14/Datos!K14)*11)/factor_trimestre),((Datos!L14/Datos!K14)*11)/factor_trimestre," - ")</f>
        <v>6.2439926062846585</v>
      </c>
      <c r="BI14" s="1046">
        <f>IF(ISNUMBER('Resol  Asuntos'!D14/NºAsuntos!G14),'Resol  Asuntos'!D14/NºAsuntos!G14," - ")</f>
        <v>0.27805695142378561</v>
      </c>
      <c r="BJ14" s="1046" t="str">
        <f>IF(ISNUMBER(Datos!CI14/Datos!CJ14),Datos!CI14/Datos!CJ14," - ")</f>
        <v xml:space="preserve"> - </v>
      </c>
      <c r="BK14" s="1046">
        <f>SUBTOTAL(9,BK8:BK13)</f>
        <v>0</v>
      </c>
      <c r="BL14" s="1046">
        <f>IF(ISNUMBER((I14-AB14+L14)/(F14)),(I14-AB14+L14)/(F14)," - ")</f>
        <v>-0.42105263157894735</v>
      </c>
      <c r="BM14" s="1051">
        <f>SUBTOTAL(9,BM9:BM13)</f>
        <v>-1.1025358324145535E-3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720</v>
      </c>
      <c r="G17" s="651">
        <f>IF(ISNUMBER(IF(D_I="SI",Datos!I17,Datos!I17+Datos!AC17)),IF(D_I="SI",Datos!I17,Datos!I17+Datos!AC17)," - ")</f>
        <v>702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712</v>
      </c>
      <c r="AC17" s="231">
        <f>IF(ISNUMBER(Datos!Q17),Datos!Q17," - ")</f>
        <v>26</v>
      </c>
      <c r="AD17" s="344"/>
      <c r="AE17" s="516"/>
      <c r="AF17" s="649">
        <f>IF(ISNUMBER(IF(D_I="SI",Datos!L17,Datos!L17+Datos!AF17)),IF(D_I="SI",Datos!L17,Datos!L17+Datos!AF17)," - ")</f>
        <v>798</v>
      </c>
      <c r="AG17" s="344"/>
      <c r="AH17" s="344"/>
      <c r="AI17" s="344"/>
      <c r="AJ17" s="504"/>
      <c r="AK17" s="344"/>
      <c r="AL17" s="500"/>
      <c r="AM17" s="345">
        <f>IF(ISNUMBER(Datos!R17),Datos!R17," - ")</f>
        <v>132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52</v>
      </c>
      <c r="BD17" s="234">
        <f>IF(ISNUMBER(Datos!N17),Datos!N17," - ")</f>
        <v>407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0.90126582278481016</v>
      </c>
      <c r="BH17" s="670">
        <f>IF(ISNUMBER(((IF(D_I="SI",Datos!L17/Datos!K17,(Datos!L17+Datos!AF17)/(Datos!K17+Datos!AE17)))*11)/factor_trimestre),((IF(D_I="SI",Datos!L17/Datos!K17,(Datos!L17+Datos!AF17)/(Datos!K17+Datos!AE17)))*11)/factor_trimestre," - ")</f>
        <v>3.362359550561798</v>
      </c>
      <c r="BI17" s="248">
        <f>IF(ISNUMBER('Resol  Asuntos'!D17/NºAsuntos!G17),'Resol  Asuntos'!D17/NºAsuntos!G17," - ")</f>
        <v>7.3033707865168537E-2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103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89</v>
      </c>
      <c r="AC18" s="502">
        <f>IF(ISNUMBER(Datos!Q18),Datos!Q18," - ")</f>
        <v>0</v>
      </c>
      <c r="AD18" s="504"/>
      <c r="AE18" s="516"/>
      <c r="AF18" s="506">
        <f>IF(ISNUMBER(Datos!L18),Datos!L18,"-")</f>
        <v>84</v>
      </c>
      <c r="AG18" s="504"/>
      <c r="AH18" s="504"/>
      <c r="AI18" s="504"/>
      <c r="AJ18" s="504"/>
      <c r="AK18" s="504"/>
      <c r="AL18" s="505"/>
      <c r="AM18" s="672">
        <f>IF(ISNUMBER(Datos!R18),Datos!R18," - ")</f>
        <v>4</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9</v>
      </c>
      <c r="BD18" s="620">
        <f>IF(ISNUMBER(Datos!N18),Datos!N18," - ")</f>
        <v>48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1.2714285714285714</v>
      </c>
      <c r="BH18" s="670">
        <f>IF(ISNUMBER(((IF(D_I="SI",Datos!L18/Datos!K18,(Datos!L18+Datos!AF18)/(Datos!K18+Datos!AE18)))*11)/factor_trimestre),((IF(D_I="SI",Datos!L18/Datos!K18,(Datos!L18+Datos!AF18)/(Datos!K18+Datos!AE18)))*11)/factor_trimestre," - ")</f>
        <v>2.8314606741573032</v>
      </c>
      <c r="BI18" s="669">
        <f>IF(ISNUMBER('Resol  Asuntos'!D18/NºAsuntos!G18),'Resol  Asuntos'!D18/NºAsuntos!G18," - ")</f>
        <v>0.10112359550561797</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720</v>
      </c>
      <c r="G20" s="1045">
        <f>SUBTOTAL(9,G16:G19)</f>
        <v>805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801</v>
      </c>
      <c r="AC20" s="1046">
        <f t="shared" si="5"/>
        <v>26</v>
      </c>
      <c r="AD20" s="1046">
        <f t="shared" si="5"/>
        <v>0</v>
      </c>
      <c r="AE20" s="1046">
        <f t="shared" si="5"/>
        <v>0</v>
      </c>
      <c r="AF20" s="1046">
        <f t="shared" si="5"/>
        <v>882</v>
      </c>
      <c r="AG20" s="1046">
        <f t="shared" si="5"/>
        <v>0</v>
      </c>
      <c r="AH20" s="1046">
        <f t="shared" si="5"/>
        <v>0</v>
      </c>
      <c r="AI20" s="1046">
        <f t="shared" si="5"/>
        <v>0</v>
      </c>
      <c r="AJ20" s="1046">
        <f t="shared" si="5"/>
        <v>0</v>
      </c>
      <c r="AK20" s="1046">
        <f t="shared" si="5"/>
        <v>0</v>
      </c>
      <c r="AL20" s="1046">
        <f t="shared" si="5"/>
        <v>0</v>
      </c>
      <c r="AM20" s="1046">
        <f t="shared" si="5"/>
        <v>136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61</v>
      </c>
      <c r="BD20" s="1046">
        <f t="shared" si="5"/>
        <v>455</v>
      </c>
      <c r="BE20" s="1046">
        <f t="shared" si="5"/>
        <v>0</v>
      </c>
      <c r="BF20" s="1046">
        <f t="shared" si="5"/>
        <v>0</v>
      </c>
      <c r="BG20" s="1046">
        <f>IF(ISNUMBER(Datos!K20/Datos!J20),Datos!K20/Datos!J20," - ")</f>
        <v>0.93139534883720931</v>
      </c>
      <c r="BH20" s="1050">
        <f>IF(ISNUMBER(((Datos!L20/Datos!K20)*11)/factor_trimestre),((Datos!L20/Datos!K20)*11)/factor_trimestre," - ")</f>
        <v>3.3033707865168545</v>
      </c>
      <c r="BI20" s="1046">
        <f>SUBTOTAL(9,BI16:BI19)</f>
        <v>0.1741573033707865</v>
      </c>
      <c r="BJ20" s="1046">
        <f>SUBTOTAL(9,BJ16:BJ19)</f>
        <v>0</v>
      </c>
      <c r="BK20" s="1046">
        <f>SUBTOTAL(9,BK16:BK19)</f>
        <v>0</v>
      </c>
      <c r="BL20" s="1046">
        <f>IF(ISNUMBER((I20-AB20+L20)/(F20)),(I20-AB20+L20)/(F20)," - ")</f>
        <v>-1.1125</v>
      </c>
      <c r="BM20" s="1052">
        <f>IF(ISNUMBER((Datos!P20-Datos!Q20)/(Datos!R20-Datos!P20+Datos!Q20)),(Datos!P20-Datos!Q20)/(Datos!R20-Datos!P20+Datos!Q20)," - ")</f>
        <v>3.0303030303030304E-2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739</v>
      </c>
      <c r="G21" s="967">
        <f t="shared" si="7"/>
        <v>824</v>
      </c>
      <c r="H21" s="969">
        <f t="shared" si="7"/>
        <v>0</v>
      </c>
      <c r="I21" s="967">
        <f t="shared" si="7"/>
        <v>0</v>
      </c>
      <c r="J21" s="969">
        <f t="shared" si="7"/>
        <v>0</v>
      </c>
      <c r="K21" s="969">
        <f t="shared" si="7"/>
        <v>0</v>
      </c>
      <c r="L21" s="1028">
        <f t="shared" si="7"/>
        <v>0</v>
      </c>
      <c r="M21" s="1028">
        <f t="shared" si="7"/>
        <v>0</v>
      </c>
      <c r="N21" s="1028">
        <f t="shared" si="7"/>
        <v>83</v>
      </c>
      <c r="O21" s="1028">
        <f t="shared" si="7"/>
        <v>0</v>
      </c>
      <c r="P21" s="1028">
        <f t="shared" si="7"/>
        <v>0</v>
      </c>
      <c r="Q21" s="969">
        <f t="shared" si="7"/>
        <v>205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809</v>
      </c>
      <c r="AC21" s="968">
        <f t="shared" si="8"/>
        <v>202</v>
      </c>
      <c r="AD21" s="968">
        <f t="shared" si="8"/>
        <v>0</v>
      </c>
      <c r="AE21" s="968">
        <f t="shared" si="8"/>
        <v>0</v>
      </c>
      <c r="AF21" s="975">
        <f t="shared" si="8"/>
        <v>897</v>
      </c>
      <c r="AG21" s="975">
        <f t="shared" si="8"/>
        <v>0</v>
      </c>
      <c r="AH21" s="975">
        <f t="shared" si="8"/>
        <v>82</v>
      </c>
      <c r="AI21" s="975">
        <f t="shared" si="8"/>
        <v>0</v>
      </c>
      <c r="AJ21" s="968">
        <f t="shared" si="8"/>
        <v>0</v>
      </c>
      <c r="AK21" s="975">
        <f t="shared" si="8"/>
        <v>0</v>
      </c>
      <c r="AL21" s="975">
        <f t="shared" si="8"/>
        <v>0</v>
      </c>
      <c r="AM21" s="975">
        <f t="shared" si="8"/>
        <v>1049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227</v>
      </c>
      <c r="BD21" s="967">
        <f t="shared" si="8"/>
        <v>633</v>
      </c>
      <c r="BE21" s="967">
        <f t="shared" si="8"/>
        <v>0</v>
      </c>
      <c r="BF21" s="977">
        <f t="shared" si="8"/>
        <v>0</v>
      </c>
      <c r="BG21" s="1062">
        <f>IF(ISNUMBER(Datos!K21/Datos!J21),Datos!K21/Datos!J21," - ")</f>
        <v>0.94043447792571833</v>
      </c>
      <c r="BH21" s="1062">
        <f>IF(ISNUMBER(((Datos!L21/Datos!K21)*11)/factor_trimestre),((Datos!L21/Datos!K21)*11)/factor_trimestre," - ")</f>
        <v>4.4888226527570785</v>
      </c>
      <c r="BI21" s="960">
        <f>IF(ISNUMBER(Datos!J21/Datos!I21),Datos!J21/Datos!I21," - ")</f>
        <v>0.74908136482939636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-1.094722598105548</v>
      </c>
      <c r="BM21" s="1036">
        <f>IF(ISNUMBER((Datos!P21-Datos!Q21+R21)/(Datos!R21-Datos!P21+Datos!Q21-R21)),(Datos!P21-Datos!Q21+R21)/(Datos!R21-Datos!P21+Datos!Q21-R21)," - ")</f>
        <v>2.8680688336520078E-3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329.6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404.72253870192765</v>
      </c>
      <c r="G23" s="601">
        <f>IF(ISNUMBER(STDEV(G8:G20)),STDEV(G8:G20),"-")</f>
        <v>390.18559686385146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397.80937646063597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70.338230477221046</v>
      </c>
      <c r="BD23" s="600"/>
      <c r="BE23" s="600">
        <f>IF(ISNUMBER(STDEV(BE8:BE20)),STDEV(BE8:BE20),"-")</f>
        <v>0</v>
      </c>
      <c r="BF23" s="605">
        <f>IF(ISNUMBER(STDEV(BF8:BF20)),STDEV(BF8:BF20),"-")</f>
        <v>0</v>
      </c>
      <c r="BG23" s="915">
        <f>IF(ISNUMBER(STDEV(BG8:BG20)),STDEV(BG8:BG20),"-")</f>
        <v>0.43386641316048874</v>
      </c>
      <c r="BH23" s="919">
        <f>IF(ISNUMBER(STDEV(BH8:BH20)),STDEV(BH8:BH20),"-")</f>
        <v>1.5665055538108394</v>
      </c>
      <c r="BI23" s="254">
        <f>IF(ISNUMBER(STDEV(BI8:BI20)),STDEV(BI8:BI20),"-")</f>
        <v>9.1507752650376473E-2</v>
      </c>
      <c r="BJ23" s="235" t="str">
        <f>IF(ISNUMBER(BL23/BM23),BL23/BM23," - ")</f>
        <v xml:space="preserve"> - </v>
      </c>
      <c r="BK23" s="627"/>
      <c r="BL23" s="608">
        <f>IF(ISNUMBER(STDEV(BL8:BL20)),STDEV(BL8:BL20),"-")</f>
        <v>0.48892712304411956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W1hYQ3MSpdvdhGR/LJYRBIp9WFSnjQGhlDrPzjKOj/KfbFUUWxehZ8pQBeQ9VnON+2rpSwmGfB48baJnqGGFHw==" saltValue="Md+bFc6qMr7/ug3BYJC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LOJA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19</v>
      </c>
      <c r="G10" s="507">
        <f>IF(ISNUMBER(Datos!I10),Datos!I10," - ")</f>
        <v>19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0</v>
      </c>
      <c r="AA10" s="506">
        <f>IF(ISNUMBER(Datos!L10),Datos!L10,"-")</f>
        <v>15</v>
      </c>
      <c r="AB10" s="504"/>
      <c r="AC10" s="504"/>
      <c r="AD10" s="517"/>
      <c r="AE10" s="517">
        <f>IF(ISNUMBER(Datos!R10),Datos!R10," - ")</f>
        <v>7</v>
      </c>
      <c r="AF10" s="620" t="str">
        <f>IF(ISNUMBER(Datos!BV10),Datos!BV10," - ")</f>
        <v xml:space="preserve"> - </v>
      </c>
      <c r="AG10" s="507" t="str">
        <f>IF(ISNUMBER(Datos!DV10),Datos!DV10," - ")</f>
        <v xml:space="preserve"> - </v>
      </c>
      <c r="AH10" s="508"/>
      <c r="AI10" s="509"/>
      <c r="AJ10" s="507">
        <f>IF(ISNUMBER(Datos!M10),Datos!M10," - ")</f>
        <v>8</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5.625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175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176</v>
      </c>
      <c r="AA12" s="506" t="str">
        <f>IF(ISNUMBER(IF(J_V="SI",Datos!L12,Datos!L12+Datos!AB12)-IF(Monitorios="SI",Datos!CD12,0)),
                          IF(J_V="SI",Datos!L12,Datos!L12+Datos!AB12)-IF(Monitorios="SI",Datos!CD12,0),
                          " - ")</f>
        <v xml:space="preserve"> - </v>
      </c>
      <c r="AB12" s="504"/>
      <c r="AC12" s="504"/>
      <c r="AD12" s="517"/>
      <c r="AE12" s="517">
        <f>IF(ISNUMBER(Datos!R12),Datos!R12," - ")</f>
        <v>906</v>
      </c>
      <c r="AF12" s="620" t="str">
        <f>IF(ISNUMBER(Datos!BV12),Datos!BV12," - ")</f>
        <v xml:space="preserve"> - </v>
      </c>
      <c r="AG12" s="507" t="str">
        <f>IF(ISNUMBER(Datos!DV12),Datos!DV12," - ")</f>
        <v xml:space="preserve"> - </v>
      </c>
      <c r="AH12" s="508"/>
      <c r="AI12" s="509"/>
      <c r="AJ12" s="507">
        <f>IF(ISNUMBER(Datos!M12),Datos!M12," - ")</f>
        <v>158</v>
      </c>
      <c r="AK12" s="620">
        <f>IF(ISNUMBER(Datos!N12),Datos!N12," - ")</f>
        <v>178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6.076400679117147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-1.1025358324145535E-3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19</v>
      </c>
      <c r="G14" s="1045">
        <f>SUBTOTAL(9,G8:G13)</f>
        <v>19</v>
      </c>
      <c r="H14" s="1055"/>
      <c r="I14" s="1045">
        <f t="shared" ref="I14:N14" si="1">SUBTOTAL(9,I8:I13)</f>
        <v>0</v>
      </c>
      <c r="J14" s="1014">
        <f t="shared" si="1"/>
        <v>0</v>
      </c>
      <c r="K14" s="1055">
        <f t="shared" si="1"/>
        <v>0</v>
      </c>
      <c r="L14" s="1055">
        <f t="shared" si="1"/>
        <v>0</v>
      </c>
      <c r="M14" s="1055">
        <f t="shared" si="1"/>
        <v>0</v>
      </c>
      <c r="N14" s="1055">
        <f t="shared" si="1"/>
        <v>175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176</v>
      </c>
      <c r="AA14" s="1047">
        <f t="shared" si="3"/>
        <v>15</v>
      </c>
      <c r="AB14" s="1047">
        <f t="shared" si="3"/>
        <v>0</v>
      </c>
      <c r="AC14" s="1047">
        <f t="shared" si="3"/>
        <v>0</v>
      </c>
      <c r="AD14" s="1047">
        <f t="shared" si="3"/>
        <v>0</v>
      </c>
      <c r="AE14" s="1047">
        <f t="shared" si="3"/>
        <v>913</v>
      </c>
      <c r="AF14" s="1055">
        <f t="shared" si="3"/>
        <v>0</v>
      </c>
      <c r="AG14" s="1055">
        <f t="shared" si="3"/>
        <v>0</v>
      </c>
      <c r="AH14" s="1055">
        <f t="shared" si="3"/>
        <v>0</v>
      </c>
      <c r="AI14" s="1055">
        <f t="shared" si="3"/>
        <v>0</v>
      </c>
      <c r="AJ14" s="1055">
        <f t="shared" si="3"/>
        <v>166</v>
      </c>
      <c r="AK14" s="1055">
        <f t="shared" si="3"/>
        <v>178</v>
      </c>
      <c r="AL14" s="1055">
        <f t="shared" si="3"/>
        <v>0</v>
      </c>
      <c r="AM14" s="1055">
        <f t="shared" si="3"/>
        <v>0</v>
      </c>
      <c r="AN14" s="1055">
        <f t="shared" si="3"/>
        <v>0</v>
      </c>
      <c r="AO14" s="1051">
        <f>IF(ISNUMBER(((NºAsuntos!I14/NºAsuntos!G14)*11)/factor_trimestre),((NºAsuntos!I14/NºAsuntos!G14)*11)/factor_trimestre," - ")</f>
        <v>6.0703517587939704</v>
      </c>
      <c r="AP14" s="1057" t="str">
        <f>IF(ISNUMBER(Datos!CI14/Datos!CJ14),Datos!CI14/Datos!CJ14," - ")</f>
        <v xml:space="preserve"> - </v>
      </c>
      <c r="AQ14" s="1075">
        <f t="shared" ref="AQ14:AV14" si="4">SUBTOTAL(9,AQ9:AQ13)</f>
        <v>0</v>
      </c>
      <c r="AR14" s="1075">
        <f t="shared" si="4"/>
        <v>-1.1025358324145535E-3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720</v>
      </c>
      <c r="G17" s="507">
        <f>IF(ISNUMBER(IF(D_I="SI",Datos!I17,Datos!I17+Datos!AC17)),IF(D_I="SI",Datos!I17,Datos!I17+Datos!AC17)," - ")</f>
        <v>702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712</v>
      </c>
      <c r="Z17" s="704">
        <f>IF(ISNUMBER(Datos!Q17),Datos!Q17," - ")</f>
        <v>26</v>
      </c>
      <c r="AA17" s="506">
        <f>IF(ISNUMBER(IF(D_I="SI",Datos!L17,Datos!L17+Datos!AF17)),IF(D_I="SI",Datos!L17,Datos!L17+Datos!AF17)," - ")</f>
        <v>798</v>
      </c>
      <c r="AB17" s="504"/>
      <c r="AC17" s="504"/>
      <c r="AD17" s="517"/>
      <c r="AE17" s="517">
        <f>IF(ISNUMBER(Datos!R17),Datos!R17," - ")</f>
        <v>132</v>
      </c>
      <c r="AF17" s="620" t="str">
        <f>IF(ISNUMBER(Datos!BV17),Datos!BV17," - ")</f>
        <v xml:space="preserve"> - </v>
      </c>
      <c r="AG17" s="507"/>
      <c r="AH17" s="508"/>
      <c r="AI17" s="509"/>
      <c r="AJ17" s="507">
        <f>IF(ISNUMBER(Datos!M17),Datos!M17," - ")</f>
        <v>52</v>
      </c>
      <c r="AK17" s="620">
        <f>IF(ISNUMBER(Datos!N17),Datos!N17," - ")</f>
        <v>407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3.362359550561798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103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89</v>
      </c>
      <c r="Z18" s="704">
        <f>IF(ISNUMBER(Datos!Q18),Datos!Q18," - ")</f>
        <v>0</v>
      </c>
      <c r="AA18" s="506">
        <f>IF(ISNUMBER(Datos!L18),Datos!L18,"-")</f>
        <v>84</v>
      </c>
      <c r="AB18" s="504"/>
      <c r="AC18" s="504"/>
      <c r="AD18" s="517"/>
      <c r="AE18" s="517">
        <f>IF(ISNUMBER(Datos!R18),Datos!R18," - ")</f>
        <v>4</v>
      </c>
      <c r="AF18" s="620" t="str">
        <f>IF(ISNUMBER(Datos!BV18),Datos!BV18," - ")</f>
        <v xml:space="preserve"> - </v>
      </c>
      <c r="AG18" s="507" t="str">
        <f>IF(ISNUMBER(Datos!DV18),Datos!DV18," - ")</f>
        <v xml:space="preserve"> - </v>
      </c>
      <c r="AH18" s="508"/>
      <c r="AI18" s="509"/>
      <c r="AJ18" s="507">
        <f>IF(ISNUMBER(Datos!M18),Datos!M18," - ")</f>
        <v>9</v>
      </c>
      <c r="AK18" s="620">
        <f>IF(ISNUMBER(Datos!N18),Datos!N18," - ")</f>
        <v>48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2.8314606741573032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720</v>
      </c>
      <c r="G20" s="1045">
        <f>SUBTOTAL(9,G16:G19)</f>
        <v>805</v>
      </c>
      <c r="H20" s="1079">
        <f>SUBTOTAL(9,H16:H19)</f>
        <v>0</v>
      </c>
      <c r="I20" s="1058">
        <f>SUBTOTAL(9,I16:I19)</f>
        <v>0</v>
      </c>
      <c r="J20" s="1014">
        <f>SUBTOTAL(9,J15:J19)</f>
        <v>0</v>
      </c>
      <c r="K20" s="1079">
        <f t="shared" ref="K20:S20" si="5">SUBTOTAL(9,K16:K19)</f>
        <v>0</v>
      </c>
      <c r="L20" s="1079">
        <f t="shared" si="5"/>
        <v>0</v>
      </c>
      <c r="M20" s="1079">
        <f t="shared" si="5"/>
        <v>0</v>
      </c>
      <c r="N20" s="1079">
        <f t="shared" si="5"/>
        <v>30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801</v>
      </c>
      <c r="Z20" s="1079">
        <f t="shared" si="6"/>
        <v>26</v>
      </c>
      <c r="AA20" s="1079">
        <f t="shared" si="6"/>
        <v>882</v>
      </c>
      <c r="AB20" s="1079">
        <f t="shared" si="6"/>
        <v>0</v>
      </c>
      <c r="AC20" s="1079">
        <f t="shared" si="6"/>
        <v>0</v>
      </c>
      <c r="AD20" s="1079">
        <f t="shared" si="6"/>
        <v>0</v>
      </c>
      <c r="AE20" s="1079">
        <f t="shared" si="6"/>
        <v>136</v>
      </c>
      <c r="AF20" s="1079">
        <f t="shared" si="6"/>
        <v>0</v>
      </c>
      <c r="AG20" s="1079">
        <f t="shared" si="6"/>
        <v>0</v>
      </c>
      <c r="AH20" s="1079">
        <f t="shared" si="6"/>
        <v>0</v>
      </c>
      <c r="AI20" s="1079">
        <f t="shared" si="6"/>
        <v>0</v>
      </c>
      <c r="AJ20" s="1079">
        <f t="shared" si="6"/>
        <v>61</v>
      </c>
      <c r="AK20" s="1079">
        <f t="shared" si="6"/>
        <v>455</v>
      </c>
      <c r="AL20" s="1079">
        <f t="shared" si="6"/>
        <v>0</v>
      </c>
      <c r="AM20" s="1079">
        <f t="shared" si="6"/>
        <v>0</v>
      </c>
      <c r="AN20" s="1079">
        <f t="shared" si="6"/>
        <v>0</v>
      </c>
      <c r="AO20" s="1081">
        <f>IF(ISNUMBER(((NºAsuntos!I20/NºAsuntos!G20)*11)/factor_trimestre),((NºAsuntos!I20/NºAsuntos!G20)*11)/factor_trimestre," - ")</f>
        <v>3.3033707865168545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739</v>
      </c>
      <c r="G21" s="967">
        <f t="shared" si="8"/>
        <v>824</v>
      </c>
      <c r="H21" s="968">
        <f t="shared" si="8"/>
        <v>0</v>
      </c>
      <c r="I21" s="967">
        <f t="shared" si="8"/>
        <v>0</v>
      </c>
      <c r="J21" s="969">
        <f t="shared" si="8"/>
        <v>0</v>
      </c>
      <c r="K21" s="967">
        <f t="shared" si="8"/>
        <v>0</v>
      </c>
      <c r="L21" s="970">
        <f t="shared" si="8"/>
        <v>0</v>
      </c>
      <c r="M21" s="967">
        <f t="shared" si="8"/>
        <v>0</v>
      </c>
      <c r="N21" s="968">
        <f t="shared" si="8"/>
        <v>205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809</v>
      </c>
      <c r="Z21" s="974">
        <f t="shared" si="9"/>
        <v>202</v>
      </c>
      <c r="AA21" s="975">
        <f t="shared" si="9"/>
        <v>897</v>
      </c>
      <c r="AB21" s="975">
        <f t="shared" si="9"/>
        <v>0</v>
      </c>
      <c r="AC21" s="975">
        <f t="shared" si="9"/>
        <v>0</v>
      </c>
      <c r="AD21" s="976">
        <f t="shared" si="9"/>
        <v>0</v>
      </c>
      <c r="AE21" s="976">
        <f t="shared" si="9"/>
        <v>1049</v>
      </c>
      <c r="AF21" s="977">
        <f t="shared" si="9"/>
        <v>0</v>
      </c>
      <c r="AG21" s="978">
        <f t="shared" si="9"/>
        <v>0</v>
      </c>
      <c r="AH21" s="979">
        <f t="shared" si="9"/>
        <v>0</v>
      </c>
      <c r="AI21" s="977">
        <f t="shared" si="9"/>
        <v>0</v>
      </c>
      <c r="AJ21" s="967">
        <f t="shared" si="9"/>
        <v>227</v>
      </c>
      <c r="AK21" s="967">
        <f t="shared" si="9"/>
        <v>633</v>
      </c>
      <c r="AL21" s="967">
        <f t="shared" si="9"/>
        <v>0</v>
      </c>
      <c r="AM21" s="980">
        <f t="shared" si="9"/>
        <v>0</v>
      </c>
      <c r="AN21" s="970">
        <f>IF(ISNUMBER(Datos!K21/Datos!J21),Datos!K21/Datos!J21," - ")</f>
        <v>0.94043447792571833</v>
      </c>
      <c r="AO21" s="970">
        <f>IF(ISNUMBER(FIND("06",Criterios!A8,1)),(IF(ISNUMBER(((Datos!R21/Datos!Q21)*11)/factor_trimestre),((Datos!R21/Datos!Q21)*11)/factor_trimestre," - ")),(IF(ISNUMBER(((Datos!L21/Datos!K21)*11)/factor_trimestre),((Datos!L21/Datos!K21)*11)/factor_trimestre," - ")))</f>
        <v>4.4888226527570785</v>
      </c>
      <c r="AP21" s="981" t="str">
        <f>IF(ISNUMBER(Datos!CI21/Datos!CJ21),Datos!CI21/Datos!CJ21," - ")</f>
        <v xml:space="preserve"> - </v>
      </c>
      <c r="AQ21" s="981">
        <f>IF(OR(ISNUMBER(FIND("01",Criterios!A8,1)),ISNUMBER(FIND("02",Criterios!A8,1)),ISNUMBER(FIND("03",Criterios!A8,1)),ISNUMBER(FIND("04",Criterios!A8,1))),(J21-Y21+K21)/(F21-K21),(I21-Y21+K21)/(F21-K21))</f>
        <v>-1.094722598105548</v>
      </c>
      <c r="AR21" s="981">
        <f>IF(ISNUMBER((Datos!P21-Datos!Q21+O21)/(Datos!R21-Datos!P21+Datos!Q21-O21)),(Datos!P21-Datos!Q21+O21)/(Datos!R21-Datos!P21+Datos!Q21-O21)," - ")</f>
        <v>2.8680688336520078E-3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329.6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404.72253870192765</v>
      </c>
      <c r="G23" s="601">
        <f>IF(ISNUMBER(STDEV(G8:G20)),STDEV(G8:G20),"-")</f>
        <v>390.18559686385146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70.338230477221046</v>
      </c>
      <c r="AK23" s="257"/>
      <c r="AL23" s="257">
        <f>IF(ISNUMBER(STDEV(AL8:AL20)),STDEV(AL8:AL20),"-")</f>
        <v>0</v>
      </c>
      <c r="AM23" s="259">
        <f>IF(ISNUMBER(STDEV(AM8:AM20)),STDEV(AM8:AM20),"-")</f>
        <v>0</v>
      </c>
      <c r="AN23" s="587">
        <f>IF(ISNUMBER(STDEV(AN8:AN20)),STDEV(AN8:AN20),"-")</f>
        <v>0</v>
      </c>
      <c r="AO23" s="588">
        <f>IF(ISNUMBER(STDEV(AO8:AO20)),STDEV(AO8:AO20),"-")</f>
        <v>1.5306720353908592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Q6TM9EOU56Efdqfe+XW2MnT4UnXjXeV2wUmPYtvKTjYYE4NkHfCoAqLIlYK1cjS6LSsCp6I9oNz/pxBrYixJA==" saltValue="nIBlu/2kwkaVR3cKkynF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wa1TGTKe5bwVE+k+J1eP5WTIMvaCpg7Ntlw84E//buTgzJnp3im5adSo9XRHEUP6/xjfHSmW7d95H5VbiOucQ==" saltValue="Al9yHRKRR7JSx6vlOk2z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cc8aE6hphO7gUzhKh6Uom6boHNLc6Bq12YWRrzXgAUELTk0soyqWANl43Hqm83L0V4dVs8F4nikJTpJXFA6XA==" saltValue="ApNJZZhgvKD1+5qqZx4g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LOJA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0.27805695142378561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0.19661595590781725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few/StoTFjZNhAg+Ir+1qOCUG2E4gL8aMlvTZdMOPJrU0vh74+zdAvXL5SLyoC246eH6OlVdW9D97oqfRKbg==" saltValue="fy7WV59IXBNe5bJvj6zV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Gy15NdeveqV1RCViexJaQUYlf0/eOb6gIT5lCeTwwlcaeAimsWBTo9haGuS7qqjMksoVbewIXyA+oBSgrRbQ==" saltValue="6YlEtulvPLLR+ZeYQMX8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LOJA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19</v>
      </c>
      <c r="D10" s="416">
        <f>IF(ISNUMBER(C10/Datos!BH10),C10/Datos!BH10," - ")</f>
        <v>19</v>
      </c>
      <c r="E10" s="415">
        <f>IF(ISNUMBER(Datos!J10),Datos!J10," - ")</f>
        <v>4</v>
      </c>
      <c r="F10" s="416">
        <f>IF(ISNUMBER(E10/B10),E10/B10," - ")</f>
        <v>4</v>
      </c>
      <c r="G10" s="415">
        <f>IF(ISNUMBER(Datos!K10),Datos!K10," - ")</f>
        <v>8</v>
      </c>
      <c r="H10" s="416">
        <f>IF(ISNUMBER(G10/B10),G10/B10," - ")</f>
        <v>8</v>
      </c>
      <c r="I10" s="415">
        <f>IF(ISNUMBER(Datos!L10),Datos!L10," - ")</f>
        <v>15</v>
      </c>
      <c r="J10" s="416">
        <f>IF(ISNUMBER(I10/B10),I10/B10," - ")</f>
        <v>15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1136</v>
      </c>
      <c r="D12" s="416">
        <f>IF(ISNUMBER(C12/Datos!BH12),C12/Datos!BH12," - ")</f>
        <v>568</v>
      </c>
      <c r="E12" s="415">
        <f>IF(ISNUMBER(IF(J_V="SI",Datos!J12,Datos!J12+Datos!Z12)),IF(J_V="SI",Datos!J12,Datos!J12+Datos!Z12)," - ")</f>
        <v>646</v>
      </c>
      <c r="F12" s="416">
        <f>IF(ISNUMBER(E12/B12),E12/B12," - ")</f>
        <v>323</v>
      </c>
      <c r="G12" s="415">
        <f>IF(ISNUMBER(IF(J_V="SI",Datos!K12,Datos!K12+Datos!AA12)),IF(J_V="SI",Datos!K12,Datos!K12+Datos!AA12)," - ")</f>
        <v>589</v>
      </c>
      <c r="H12" s="416">
        <f>IF(ISNUMBER(G12/B12),G12/B12," - ")</f>
        <v>294.5</v>
      </c>
      <c r="I12" s="415">
        <f>IF(ISNUMBER(IF(J_V="SI",Datos!L12,Datos!L12+Datos!AB12)),IF(J_V="SI",Datos!L12,Datos!L12+Datos!AB12)," - ")</f>
        <v>1193</v>
      </c>
      <c r="J12" s="416">
        <f>IF(ISNUMBER(I12/B12),I12/B12," - ")</f>
        <v>596.5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1155</v>
      </c>
      <c r="D14" s="997" t="str">
        <f>IF(ISNUMBER(C14/Datos!BI14),C14/Datos!BI14," - ")</f>
        <v xml:space="preserve"> - </v>
      </c>
      <c r="E14" s="996">
        <f>SUBTOTAL(9,E8:E13)</f>
        <v>650</v>
      </c>
      <c r="F14" s="997">
        <f>IF(ISNUMBER(E14/B14),E14/B14," - ")</f>
        <v>325</v>
      </c>
      <c r="G14" s="996">
        <f>SUBTOTAL(9,G8:G13)</f>
        <v>597</v>
      </c>
      <c r="H14" s="997">
        <f>IF(ISNUMBER(G14/B14),G14/B14," - ")</f>
        <v>298.5</v>
      </c>
      <c r="I14" s="996">
        <f>SUBTOTAL(9,I8:I13)</f>
        <v>1208</v>
      </c>
      <c r="J14" s="997">
        <f>IF(ISNUMBER(I14/B14),I14/B14," - ")</f>
        <v>604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702</v>
      </c>
      <c r="D17" s="416">
        <f>IF(ISNUMBER(C17/Datos!BH17),C17/Datos!BH17," - ")</f>
        <v>351</v>
      </c>
      <c r="E17" s="415">
        <f>IF(ISNUMBER(IF(D_I="SI",Datos!J17,Datos!J17+Datos!AD17)),IF(D_I="SI",Datos!J17,Datos!J17+Datos!AD17)," - ")</f>
        <v>790</v>
      </c>
      <c r="F17" s="416">
        <f>IF(ISNUMBER(E17/B17),E17/B17," - ")</f>
        <v>395</v>
      </c>
      <c r="G17" s="415">
        <f>IF(ISNUMBER(IF(D_I="SI",Datos!K17,Datos!K17+Datos!AE17)),IF(D_I="SI",Datos!K17,Datos!K17+Datos!AE17)," - ")</f>
        <v>712</v>
      </c>
      <c r="H17" s="416">
        <f>IF(ISNUMBER(G17/B17),G17/B17," - ")</f>
        <v>356</v>
      </c>
      <c r="I17" s="415">
        <f>IF(ISNUMBER(IF(D_I="SI",Datos!L17,Datos!L17+Datos!AF17)),IF(D_I="SI",Datos!L17,Datos!L17+Datos!AF17)," - ")</f>
        <v>798</v>
      </c>
      <c r="J17" s="416">
        <f>IF(ISNUMBER(I17/B17),I17/B17," - ")</f>
        <v>399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103</v>
      </c>
      <c r="D18" s="416">
        <f>IF(ISNUMBER(C18/Datos!BH18),C18/Datos!BH18," - ")</f>
        <v>103</v>
      </c>
      <c r="E18" s="415">
        <f>IF(ISNUMBER(IF(D_I="SI",Datos!J18,Datos!J18+Datos!AD18)),IF(D_I="SI",Datos!J18,Datos!J18+Datos!AD18)," - ")</f>
        <v>70</v>
      </c>
      <c r="F18" s="416">
        <f>IF(ISNUMBER(E18/B18),E18/B18," - ")</f>
        <v>70</v>
      </c>
      <c r="G18" s="415">
        <f>IF(ISNUMBER(IF(D_I="SI",Datos!K18,Datos!K18+Datos!AE18)),IF(D_I="SI",Datos!K18,Datos!K18+Datos!AE18)," - ")</f>
        <v>89</v>
      </c>
      <c r="H18" s="416">
        <f>IF(ISNUMBER(G18/B18),G18/B18," - ")</f>
        <v>89</v>
      </c>
      <c r="I18" s="415">
        <f>IF(ISNUMBER(IF(D_I="SI",Datos!L18,Datos!L18+Datos!AF18)),IF(D_I="SI",Datos!L18,Datos!L18+Datos!AF18)," - ")</f>
        <v>84</v>
      </c>
      <c r="J18" s="416">
        <f>IF(ISNUMBER(I18/B18),I18/B18," - ")</f>
        <v>84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805</v>
      </c>
      <c r="D20" s="997" t="str">
        <f>IF(ISNUMBER(C20/Datos!BI20),C20/Datos!BI20," - ")</f>
        <v xml:space="preserve"> - </v>
      </c>
      <c r="E20" s="996">
        <f>SUBTOTAL(9,E15:E19)</f>
        <v>860</v>
      </c>
      <c r="F20" s="997">
        <f>IF(ISNUMBER(E20/B20),E20/B20," - ")</f>
        <v>430</v>
      </c>
      <c r="G20" s="996">
        <f>SUBTOTAL(9,G15:G19)</f>
        <v>801</v>
      </c>
      <c r="H20" s="997">
        <f>IF(ISNUMBER(G20/B20),G20/B20," - ")</f>
        <v>400.5</v>
      </c>
      <c r="I20" s="996">
        <f>SUBTOTAL(9,I15:I19)</f>
        <v>882</v>
      </c>
      <c r="J20" s="997">
        <f>IF(ISNUMBER(I20/B20),I20/B20," - ")</f>
        <v>441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1960</v>
      </c>
      <c r="D21" s="942" t="str">
        <f>IF(ISNUMBER(C21/Datos!BI21),C21/Datos!BI21," - ")</f>
        <v xml:space="preserve"> - </v>
      </c>
      <c r="E21" s="941">
        <f>SUBTOTAL(9,E9:E20)</f>
        <v>1510</v>
      </c>
      <c r="F21" s="942">
        <f>IF(ISNUMBER(E21/B21),E21/B21," - ")</f>
        <v>755</v>
      </c>
      <c r="G21" s="941">
        <f>SUBTOTAL(9,G9:G20)</f>
        <v>1398</v>
      </c>
      <c r="H21" s="942">
        <f>IF(ISNUMBER(G21/B21),G21/B21," - ")</f>
        <v>699</v>
      </c>
      <c r="I21" s="941">
        <f>SUBTOTAL(9,I9:I20)</f>
        <v>2090</v>
      </c>
      <c r="J21" s="942">
        <f>IF(ISNUMBER(I21/B21),I21/B21," - ")</f>
        <v>1045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7/MvYEQEKWPrSPisbQDuMRZ006gTJ9X5CwEQyrDUPfW3qcx5IXBrKbu1F9T/eWVHASrW+yHYvbJy6ziXPoHRTQ==" saltValue="cdaKHsEjwkEsDfGK30ZE0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LOJA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19</v>
      </c>
      <c r="G10" s="803">
        <f>IF(ISNUMBER(Datos!I10),Datos!I10," - ")</f>
        <v>19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15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8</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5.625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175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906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158</v>
      </c>
      <c r="AM12" s="811">
        <f>IF(ISNUMBER(Datos!N12+DatosP!N17),Datos!N12+DatosP!N17," - ")</f>
        <v>178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6.076400679117147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-1.1025358324145535E-3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19</v>
      </c>
      <c r="G14" s="1085">
        <f t="shared" si="0"/>
        <v>19</v>
      </c>
      <c r="H14" s="1085">
        <f t="shared" si="0"/>
        <v>0</v>
      </c>
      <c r="I14" s="1087">
        <f t="shared" si="0"/>
        <v>0</v>
      </c>
      <c r="J14" s="1086">
        <f t="shared" si="0"/>
        <v>0</v>
      </c>
      <c r="K14" s="1086">
        <f t="shared" si="0"/>
        <v>0</v>
      </c>
      <c r="L14" s="1088">
        <f t="shared" si="0"/>
        <v>0</v>
      </c>
      <c r="M14" s="1088">
        <f t="shared" si="0"/>
        <v>0</v>
      </c>
      <c r="N14" s="1086">
        <f t="shared" si="0"/>
        <v>175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176</v>
      </c>
      <c r="AE14" s="1086">
        <f t="shared" si="1"/>
        <v>0</v>
      </c>
      <c r="AF14" s="1086">
        <f t="shared" si="1"/>
        <v>15</v>
      </c>
      <c r="AG14" s="1086">
        <f t="shared" si="1"/>
        <v>0</v>
      </c>
      <c r="AH14" s="1086">
        <f t="shared" si="1"/>
        <v>906</v>
      </c>
      <c r="AI14" s="1086">
        <f t="shared" si="1"/>
        <v>0</v>
      </c>
      <c r="AJ14" s="1086">
        <f t="shared" si="1"/>
        <v>0</v>
      </c>
      <c r="AK14" s="1086">
        <f t="shared" si="1"/>
        <v>0</v>
      </c>
      <c r="AL14" s="1086">
        <f t="shared" si="1"/>
        <v>166</v>
      </c>
      <c r="AM14" s="1086">
        <f t="shared" si="1"/>
        <v>178</v>
      </c>
      <c r="AN14" s="1086">
        <f t="shared" si="1"/>
        <v>0</v>
      </c>
      <c r="AO14" s="1086">
        <f t="shared" si="1"/>
        <v>0</v>
      </c>
      <c r="AP14" s="1091">
        <f>IF(ISNUMBER(((Datos!L14/Datos!K14)*11)/factor_trimestre),((Datos!L14/Datos!K14)*11)/factor_trimestre," - ")</f>
        <v>6.2439926062846585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-0.42105263157894735</v>
      </c>
      <c r="AU14" s="1086" t="str">
        <f>IF(ISNUMBER((DatosP!#REF!-DatosP!#REF!+DatosP!#REF!)/(DatosP!#REF!+DatosP!#REF!-DatosP!#REF!-DatosP!#REF!)),(DatosP!#REF!-DatosP!#REF!+DatosP!#REF!)/(DatosP!#REF!+DatosP!#REF!-DatosP!#REF!-DatosP!#REF!)," - ")</f>
        <v xml:space="preserve"> - </v>
      </c>
      <c r="AV14" s="1092">
        <f>SUBTOTAL(9,AV9:AV13)</f>
        <v>-1.1025358324145535E-3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3.3033707865168545</v>
      </c>
      <c r="AQ20" s="1091">
        <f>IF(ISNUMBER(((Datos!M20/Datos!L20)*11)/factor_trimestre),((Datos!M20/Datos!L20)*11)/factor_trimestre," - ")</f>
        <v>0.20748299319727892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3.0303030303030304E-2</v>
      </c>
      <c r="AW20" s="1093">
        <f>IF(ISNUMBER((Datos!Q20-Datos!R20)/(Datos!S20-Datos!Q20+Datos!R20)),(Datos!Q20-Datos!R20)/(Datos!S20-Datos!Q20+Datos!R20)," - ")</f>
        <v>-0.11627906976744186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19</v>
      </c>
      <c r="G21" s="1098">
        <f t="shared" si="4"/>
        <v>19</v>
      </c>
      <c r="H21" s="1098">
        <f t="shared" si="4"/>
        <v>0</v>
      </c>
      <c r="I21" s="1099">
        <f t="shared" si="4"/>
        <v>0</v>
      </c>
      <c r="J21" s="1100">
        <f t="shared" si="4"/>
        <v>0</v>
      </c>
      <c r="K21" s="1100">
        <f t="shared" si="4"/>
        <v>0</v>
      </c>
      <c r="L21" s="1100">
        <f t="shared" si="4"/>
        <v>0</v>
      </c>
      <c r="M21" s="1100">
        <f t="shared" si="4"/>
        <v>0</v>
      </c>
      <c r="N21" s="1099">
        <f t="shared" si="4"/>
        <v>175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176</v>
      </c>
      <c r="AE21" s="1104">
        <f t="shared" si="5"/>
        <v>0</v>
      </c>
      <c r="AF21" s="1105">
        <f t="shared" si="5"/>
        <v>15</v>
      </c>
      <c r="AG21" s="1105">
        <f t="shared" si="5"/>
        <v>0</v>
      </c>
      <c r="AH21" s="1105">
        <f t="shared" si="5"/>
        <v>906</v>
      </c>
      <c r="AI21" s="1105">
        <f t="shared" si="5"/>
        <v>0</v>
      </c>
      <c r="AJ21" s="1106">
        <f t="shared" si="5"/>
        <v>0</v>
      </c>
      <c r="AK21" s="1106">
        <f t="shared" si="5"/>
        <v>0</v>
      </c>
      <c r="AL21" s="1098">
        <f t="shared" si="5"/>
        <v>166</v>
      </c>
      <c r="AM21" s="1098">
        <f t="shared" si="5"/>
        <v>178</v>
      </c>
      <c r="AN21" s="1098">
        <f t="shared" si="5"/>
        <v>0</v>
      </c>
      <c r="AO21" s="1098">
        <f t="shared" si="5"/>
        <v>0</v>
      </c>
      <c r="AP21" s="1098">
        <f>IF(ISNUMBER(((Datos!L21/Datos!K21)*11)/factor_trimestre),((Datos!L21/Datos!K21)*11)/factor_trimestre," - ")</f>
        <v>4.4888226527570785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-0.42105263157894735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2.8680688336520078E-3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12.666666666666666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10.96965511460289</v>
      </c>
      <c r="G23" s="871">
        <f>IF(ISNUMBER(STDEV(G8:G20)),STDEV(G8:G20),"-")</f>
        <v>10.96965511460289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91.338199383755452</v>
      </c>
      <c r="AM23" s="870"/>
      <c r="AN23" s="870">
        <f>IF(ISNUMBER(STDEV(AN8:AN20)),STDEV(AN8:AN20),"-")</f>
        <v>0</v>
      </c>
      <c r="AO23" s="876">
        <f>IF(ISNUMBER(STDEV(AO8:AO20)),STDEV(AO8:AO20),"-")</f>
        <v>0</v>
      </c>
      <c r="AP23" s="923">
        <f>IF(ISNUMBER(STDEV(AP8:AP20)),STDEV(AP8:AP20),"-")</f>
        <v>1.3644875457731933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ZSSf6S7gn2jbHAPlGeMwwyZ4XltXWoejTnpLDL14VnkhLz/53oKQmOFYFqyTVJt2bpgTJvfq7nqJFYSqZlc0w==" saltValue="Or0sgT+v874+eSl3D1Mg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LOJA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9Ns7wK9GoY96JVWpJNXKr0NOI456oRutUDFo0QgdawdFsIvgTr4CpxjcBYbcCkc8K7Ea0nDhsF2r/KkKqfqow==" saltValue="AqI/kyY1sM/bQt2R2HTJD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LOJA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8</v>
      </c>
      <c r="E10" s="416">
        <f>IF(ISNUMBER(D10/B10),D10/B10," - ")</f>
        <v>8</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158</v>
      </c>
      <c r="E12" s="416">
        <f t="shared" si="0"/>
        <v>79</v>
      </c>
      <c r="F12" s="415">
        <f>IF(ISNUMBER(Datos!N12),Datos!N12," - ")</f>
        <v>178</v>
      </c>
      <c r="G12" s="416">
        <f t="shared" si="1"/>
        <v>89</v>
      </c>
      <c r="H12" s="415">
        <f>IF(ISNUMBER(Datos!O12),Datos!O12," - ")</f>
        <v>358</v>
      </c>
      <c r="I12" s="416">
        <f t="shared" si="2"/>
        <v>179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166</v>
      </c>
      <c r="E14" s="997">
        <f t="shared" si="0"/>
        <v>55.333333333333336</v>
      </c>
      <c r="F14" s="996">
        <f>SUBTOTAL(9,F9:F13)</f>
        <v>178</v>
      </c>
      <c r="G14" s="997">
        <f t="shared" si="1"/>
        <v>59.333333333333336</v>
      </c>
      <c r="H14" s="996">
        <f>SUBTOTAL(9,H9:H13)</f>
        <v>358</v>
      </c>
      <c r="I14" s="997">
        <f>IF(ISNUMBER(H14/B14),H14/B14," - ")</f>
        <v>119.33333333333333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52</v>
      </c>
      <c r="E17" s="416">
        <f t="shared" si="3"/>
        <v>26</v>
      </c>
      <c r="F17" s="415">
        <f>IF(ISNUMBER(Datos!N17),Datos!N17," - ")</f>
        <v>407</v>
      </c>
      <c r="G17" s="416">
        <f t="shared" si="4"/>
        <v>203.5</v>
      </c>
      <c r="H17" s="415">
        <f>IF(ISNUMBER(Datos!O17),Datos!O17," - ")</f>
        <v>21</v>
      </c>
      <c r="I17" s="416">
        <f t="shared" si="5"/>
        <v>10.5</v>
      </c>
    </row>
    <row r="18" spans="1:9">
      <c r="A18" s="414" t="str">
        <f>Datos!A18</f>
        <v>Jdos. Violencia contra la mujer</v>
      </c>
      <c r="B18" s="444">
        <f>Datos!AO18</f>
        <v>1</v>
      </c>
      <c r="C18" s="445">
        <f>Datos!AQ18</f>
        <v>0</v>
      </c>
      <c r="D18" s="415">
        <f>IF(ISNUMBER(Datos!M18),Datos!M18," - ")</f>
        <v>9</v>
      </c>
      <c r="E18" s="416">
        <f>IF(ISNUMBER(D18/B18),D18/B18," - ")</f>
        <v>9</v>
      </c>
      <c r="F18" s="415">
        <f>IF(ISNUMBER(Datos!N18),Datos!N18," - ")</f>
        <v>48</v>
      </c>
      <c r="G18" s="416">
        <f>IF(ISNUMBER(F18/B18),F18/B18," - ")</f>
        <v>48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61</v>
      </c>
      <c r="E20" s="997">
        <f t="shared" si="3"/>
        <v>20.333333333333332</v>
      </c>
      <c r="F20" s="996">
        <f>SUBTOTAL(9,F16:F19)</f>
        <v>455</v>
      </c>
      <c r="G20" s="997">
        <f t="shared" si="4"/>
        <v>151.66666666666666</v>
      </c>
      <c r="H20" s="996">
        <f>SUBTOTAL(9,H16:H19)</f>
        <v>21</v>
      </c>
      <c r="I20" s="997">
        <f>IF(ISNUMBER(H20/B20),H20/B20," - ")</f>
        <v>7</v>
      </c>
    </row>
    <row r="21" spans="1:9" ht="14.25" thickTop="1" thickBot="1">
      <c r="A21" s="940" t="str">
        <f>Datos!A21</f>
        <v>TOTAL JURISDICCIONES</v>
      </c>
      <c r="B21" s="941">
        <f>Datos!AP21</f>
        <v>2</v>
      </c>
      <c r="C21" s="941">
        <f>Datos!AR21</f>
        <v>2</v>
      </c>
      <c r="D21" s="941">
        <f>SUBTOTAL(9,D8:D20)</f>
        <v>227</v>
      </c>
      <c r="E21" s="942">
        <f>IF(ISNUMBER(D21/B21),D21/B21," - ")</f>
        <v>113.5</v>
      </c>
      <c r="F21" s="941">
        <f>SUBTOTAL(9,F8:F20)</f>
        <v>633</v>
      </c>
      <c r="G21" s="942">
        <f>IF(ISNUMBER(F21/B21),F21/B21," - ")</f>
        <v>316.5</v>
      </c>
      <c r="H21" s="941">
        <f>SUBTOTAL(9,H8:H20)</f>
        <v>379</v>
      </c>
      <c r="I21" s="942">
        <f>IF(ISNUMBER(H21/B21),H21/B21," - ")</f>
        <v>189.5</v>
      </c>
    </row>
    <row r="24" spans="1:9">
      <c r="A24" s="403" t="str">
        <f>Criterios!A4</f>
        <v>Fecha Informe: 06 jun. 2023</v>
      </c>
    </row>
    <row r="29" spans="1:9">
      <c r="A29" s="426"/>
    </row>
  </sheetData>
  <sheetProtection algorithmName="SHA-512" hashValue="FtF5a99RyXhwbR07oAVmKJbu4COLeTTgPKRcvnHD/e47YhROFT+4NmHk2ikejk+JHLE8wqbAwSa87kaXK4F1IQ==" saltValue="+b9wiAQ6Geai6vuTfPE5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LOJA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7</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175</v>
      </c>
      <c r="C12" s="451">
        <f>IF(ISNUMBER(Datos!Q12),Datos!Q12," - ")</f>
        <v>176</v>
      </c>
      <c r="D12" s="420">
        <f>IF(ISNUMBER(Datos!R12),Datos!R12," - ")</f>
        <v>906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175</v>
      </c>
      <c r="C14" s="1000">
        <f>SUBTOTAL(9,C9:C13)</f>
        <v>176</v>
      </c>
      <c r="D14" s="998">
        <f>SUBTOTAL(9,D9:D13)</f>
        <v>913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30</v>
      </c>
      <c r="C17" s="451">
        <f>IF(ISNUMBER(Datos!Q17),Datos!Q17," - ")</f>
        <v>26</v>
      </c>
      <c r="D17" s="420">
        <f>IF(ISNUMBER(Datos!R17),Datos!R17," - ")</f>
        <v>132</v>
      </c>
    </row>
    <row r="18" spans="1:4">
      <c r="A18" s="414" t="str">
        <f>Datos!A18</f>
        <v>Jdos. Violencia contra la mujer</v>
      </c>
      <c r="B18" s="450">
        <f>IF(ISNUMBER(Datos!P18),Datos!P18," - ")</f>
        <v>0</v>
      </c>
      <c r="C18" s="451">
        <f>IF(ISNUMBER(Datos!Q18),Datos!Q18," - ")</f>
        <v>0</v>
      </c>
      <c r="D18" s="420">
        <f>IF(ISNUMBER(Datos!R18),Datos!R18," - ")</f>
        <v>4</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30</v>
      </c>
      <c r="C20" s="1000">
        <f>SUBTOTAL(9,C16:C19)</f>
        <v>26</v>
      </c>
      <c r="D20" s="998">
        <f>SUBTOTAL(9,D16:D19)</f>
        <v>136</v>
      </c>
    </row>
    <row r="21" spans="1:4" ht="16.5" customHeight="1" thickTop="1" thickBot="1">
      <c r="A21" s="940" t="str">
        <f>Datos!A21</f>
        <v>TOTAL JURISDICCIONES</v>
      </c>
      <c r="B21" s="945">
        <f>SUBTOTAL(9,B8:B20)</f>
        <v>205</v>
      </c>
      <c r="C21" s="946">
        <f>SUBTOTAL(9,C8:C20)</f>
        <v>202</v>
      </c>
      <c r="D21" s="947">
        <f>SUBTOTAL(9,D8:D20)</f>
        <v>1049</v>
      </c>
    </row>
    <row r="22" spans="1:4" ht="7.5" customHeight="1"/>
    <row r="23" spans="1:4" ht="6" customHeight="1"/>
    <row r="24" spans="1:4">
      <c r="A24" s="403" t="str">
        <f>Criterios!A4</f>
        <v>Fecha Informe: 06 jun. 2023</v>
      </c>
    </row>
    <row r="29" spans="1:4">
      <c r="A29" s="426"/>
    </row>
  </sheetData>
  <sheetProtection algorithmName="SHA-512" hashValue="UIAkWn4gDtjHtz9HCFEHekg2mSnupSlAkv0YGt4LowQE88msuZRtmTYoCxCZv4xDoN3MrAbiXPriIPTEfaHsIQ==" saltValue="n9eA5+1KUvq1u73BB+Zh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LOJA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0.72727272727272729</v>
      </c>
      <c r="C10" s="473">
        <f>IF(ISNUMBER((Datos!J10-Datos!T10)/Datos!T10),(Datos!J10-Datos!T10)/Datos!T10," - ")</f>
        <v>0.33333333333333331</v>
      </c>
      <c r="D10" s="473">
        <f>IF(ISNUMBER((Datos!K10-Datos!U10)/Datos!U10),(Datos!K10-Datos!U10)/Datos!U10," - ")</f>
        <v>1.6666666666666667</v>
      </c>
      <c r="E10" s="473">
        <f>IF(ISNUMBER((Datos!L10-Datos!V10)/Datos!V10),(Datos!L10-Datos!V10)/Datos!V10," - ")</f>
        <v>0.36363636363636365</v>
      </c>
      <c r="F10" s="473">
        <f>IF(ISNUMBER((Datos!M10-Datos!W10)/Datos!W10),(Datos!M10-Datos!W10)/Datos!W10," - ")</f>
        <v>1.6666666666666667</v>
      </c>
      <c r="G10" s="474" t="str">
        <f>IF(ISNUMBER((Datos!N10-Datos!X10)/Datos!X10),(Datos!N10-Datos!X10)/Datos!X10," - ")</f>
        <v xml:space="preserve"> - </v>
      </c>
      <c r="H10" s="472">
        <f>IF(ISNUMBER(((NºAsuntos!G10/NºAsuntos!E10)-Datos!BD10)/Datos!BD10),((NºAsuntos!G10/NºAsuntos!E10)-Datos!BD10)/Datos!BD10," - ")</f>
        <v>1</v>
      </c>
      <c r="I10" s="473">
        <f>IF(ISNUMBER(((NºAsuntos!I10/NºAsuntos!G10)-Datos!BE10)/Datos!BE10),((NºAsuntos!I10/NºAsuntos!G10)-Datos!BE10)/Datos!BE10," - ")</f>
        <v>-0.48863636363636359</v>
      </c>
      <c r="J10" s="478">
        <f>IF(ISNUMBER((('Resol  Asuntos'!D10/NºAsuntos!G10)-Datos!BF10)/Datos!BF10),(('Resol  Asuntos'!D10/NºAsuntos!G10)-Datos!BF10)/Datos!BF10," - ")</f>
        <v>0</v>
      </c>
      <c r="K10" s="479">
        <f>IF(ISNUMBER((((NºAsuntos!C10+NºAsuntos!E10)/NºAsuntos!G10)-Datos!BG10)/Datos!BG10),(((NºAsuntos!C10+NºAsuntos!E10)/NºAsuntos!G10)-Datos!BG10)/Datos!BG10," - ")</f>
        <v>-0.38392857142857145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0.31026528258362168</v>
      </c>
      <c r="C12" s="473">
        <f>IF(ISNUMBER(
   IF(J_V="SI",(Datos!J12-Datos!T12)/Datos!T12,(Datos!J12+Datos!Z12-(Datos!T12+Datos!AH12))/(Datos!T12+Datos!AH12))
     ),IF(J_V="SI",(Datos!J12-Datos!T12)/Datos!T12,(Datos!J12+Datos!Z12-(Datos!T12+Datos!AH12))/(Datos!T12+Datos!AH12))," - ")</f>
        <v>0.21200750469043153</v>
      </c>
      <c r="D12" s="473">
        <f>IF(ISNUMBER(
   IF(J_V="SI",(Datos!K12-Datos!U12)/Datos!U12,(Datos!K12+Datos!AA12-(Datos!U12+Datos!AI12))/(Datos!U12+Datos!AI12))
     ),IF(J_V="SI",(Datos!K12-Datos!U12)/Datos!U12,(Datos!K12+Datos!AA12-(Datos!U12+Datos!AI12))/(Datos!U12+Datos!AI12))," - ")</f>
        <v>0.39573459715639808</v>
      </c>
      <c r="E12" s="473">
        <f>IF(ISNUMBER(
   IF(J_V="SI",(Datos!L12-Datos!V12)/Datos!V12,(Datos!L12+Datos!AB12-(Datos!V12+Datos!AJ12))/(Datos!V12+Datos!AJ12))
     ),IF(J_V="SI",(Datos!L12-Datos!V12)/Datos!V12,(Datos!L12+Datos!AB12-(Datos!V12+Datos!AJ12))/(Datos!V12+Datos!AJ12))," - ")</f>
        <v>0.21983640081799591</v>
      </c>
      <c r="F12" s="473">
        <f>IF(ISNUMBER((Datos!M12-Datos!W12)/Datos!W12),(Datos!M12-Datos!W12)/Datos!W12," - ")</f>
        <v>0.37391304347826088</v>
      </c>
      <c r="G12" s="474">
        <f>IF(ISNUMBER((Datos!N12-Datos!X12)/Datos!X12),(Datos!N12-Datos!X12)/Datos!X12," - ")</f>
        <v>0.42399999999999999</v>
      </c>
      <c r="H12" s="472">
        <f>IF(ISNUMBER(((NºAsuntos!G12/NºAsuntos!E12)-Datos!BD12)/Datos!BD12),((NºAsuntos!G12/NºAsuntos!E12)-Datos!BD12)/Datos!BD12," - ")</f>
        <v>0.15158907164761634</v>
      </c>
      <c r="I12" s="473">
        <f>IF(ISNUMBER(((NºAsuntos!I12/NºAsuntos!G12)-Datos!BE12)/Datos!BE12),((NºAsuntos!I12/NºAsuntos!G12)-Datos!BE12)/Datos!BE12," - ")</f>
        <v>-0.12602553286045121</v>
      </c>
      <c r="J12" s="478">
        <f>IF(ISNUMBER((('Resol  Asuntos'!D12/NºAsuntos!G12)-Datos!BF12)/Datos!BF12),(('Resol  Asuntos'!D12/NºAsuntos!G12)-Datos!BF12)/Datos!BF12," - ")</f>
        <v>-9.4383701188455099E-2</v>
      </c>
      <c r="K12" s="479">
        <f>IF(ISNUMBER((((NºAsuntos!C12+NºAsuntos!E12)/NºAsuntos!G12)-Datos!BG12)/Datos!BG12),(((NºAsuntos!C12+NºAsuntos!E12)/NºAsuntos!G12)-Datos!BG12)/Datos!BG12," - ")</f>
        <v>-8.8037836526800917E-2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0.31548974943052394</v>
      </c>
      <c r="C14" s="1002">
        <f>IF(ISNUMBER(
   IF(J_V="SI",(Datos!J14-Datos!T14)/Datos!T14,(Datos!J14+Datos!Z14-(Datos!T14+Datos!AH14))/(Datos!T14+Datos!AH14))
     ),IF(J_V="SI",(Datos!J14-Datos!T14)/Datos!T14,(Datos!J14+Datos!Z14-(Datos!T14+Datos!AH14))/(Datos!T14+Datos!AH14))," - ")</f>
        <v>0.21268656716417911</v>
      </c>
      <c r="D14" s="1002">
        <f>IF(ISNUMBER(
   IF(J_V="SI",(Datos!K14-Datos!U14)/Datos!U14,(Datos!K14+Datos!AA14-(Datos!U14+Datos!AI14))/(Datos!U14+Datos!AI14))
     ),IF(J_V="SI",(Datos!K14-Datos!U14)/Datos!U14,(Datos!K14+Datos!AA14-(Datos!U14+Datos!AI14))/(Datos!U14+Datos!AI14))," - ")</f>
        <v>0.40470588235294119</v>
      </c>
      <c r="E14" s="1002">
        <f>IF(ISNUMBER(
   IF(J_V="SI",(Datos!L14-Datos!V14)/Datos!V14,(Datos!L14+Datos!AB14-(Datos!V14+Datos!AJ14))/(Datos!V14+Datos!AJ14))
     ),IF(J_V="SI",(Datos!L14-Datos!V14)/Datos!V14,(Datos!L14+Datos!AB14-(Datos!V14+Datos!AJ14))/(Datos!V14+Datos!AJ14))," - ")</f>
        <v>0.22143579373104147</v>
      </c>
      <c r="F14" s="1003">
        <f>IF(ISNUMBER((Datos!M14-Datos!W14)/Datos!W14),(Datos!M14-Datos!W14)/Datos!W14," - ")</f>
        <v>0.40677966101694918</v>
      </c>
      <c r="G14" s="1004">
        <f>IF(ISNUMBER((Datos!N14-Datos!X14)/Datos!X14),(Datos!N14-Datos!X14)/Datos!X14," - ")</f>
        <v>0.42399999999999999</v>
      </c>
      <c r="H14" s="1004">
        <f>IF(ISNUMBER(((NºAsuntos!G14/NºAsuntos!E14)-Datos!BD14)/Datos!BD14),((NºAsuntos!G14/NºAsuntos!E14)-Datos!BD14)/Datos!BD14," - ")</f>
        <v>0.1583420814479638</v>
      </c>
      <c r="I14" s="1004">
        <f>IF(ISNUMBER(((NºAsuntos!I14/NºAsuntos!G14)-Datos!BE14)/Datos!BE14),((NºAsuntos!I14/NºAsuntos!G14)-Datos!BE14)/Datos!BE14," - ")</f>
        <v>-0.13046865605411617</v>
      </c>
      <c r="J14" s="1004">
        <f>IF(ISNUMBER((('Resol  Asuntos'!D14/NºAsuntos!G14)-Datos!BF14)/Datos!BF14),(('Resol  Asuntos'!D14/NºAsuntos!G14)-Datos!BF14)/Datos!BF14," - ")</f>
        <v>-7.6764028475711746E-2</v>
      </c>
      <c r="K14" s="1004">
        <f>IF(ISNUMBER((((NºAsuntos!C14+NºAsuntos!E14)/NºAsuntos!G14)-Datos!BG14)/Datos!BG14),(((NºAsuntos!C14+NºAsuntos!E14)/NºAsuntos!G14)-Datos!BG14)/Datos!BG14," - ")</f>
        <v>-9.1254243873777147E-2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-7.874015748031496E-2</v>
      </c>
      <c r="C17" s="473">
        <f>IF(ISNUMBER(
   IF(D_I="SI",(Datos!J17-Datos!T17)/Datos!T17,(Datos!J17+Datos!AD17-(Datos!T17+Datos!AL17))/(Datos!T17+Datos!AL17))
     ),IF(D_I="SI",(Datos!J17-Datos!T17)/Datos!T17,(Datos!J17+Datos!AD17-(Datos!T17+Datos!AL17))/(Datos!T17+Datos!AL17))," - ")</f>
        <v>1.935483870967742E-2</v>
      </c>
      <c r="D17" s="473">
        <f>IF(ISNUMBER(
   IF(D_I="SI",(Datos!K17-Datos!U17)/Datos!U17,(Datos!K17+Datos!AE17-(Datos!U17+Datos!AM17))/(Datos!U17+Datos!AM17))
     ),IF(D_I="SI",(Datos!K17-Datos!U17)/Datos!U17,(Datos!K17+Datos!AE17-(Datos!U17+Datos!AM17))/(Datos!U17+Datos!AM17))," - ")</f>
        <v>-6.5616797900262466E-2</v>
      </c>
      <c r="E17" s="473">
        <f>IF(ISNUMBER(
   IF(D_I="SI",(Datos!L17-Datos!V17)/Datos!V17,(Datos!L17+Datos!AF17-(Datos!V17+Datos!AN17))/(Datos!V17+Datos!AN17))
     ),IF(D_I="SI",(Datos!L17-Datos!V17)/Datos!V17,(Datos!L17+Datos!AF17-(Datos!V17+Datos!AN17))/(Datos!V17+Datos!AN17))," - ")</f>
        <v>2.9677419354838711E-2</v>
      </c>
      <c r="F17" s="473">
        <f>IF(ISNUMBER((Datos!M17-Datos!W17)/Datos!W17),(Datos!M17-Datos!W17)/Datos!W17," - ")</f>
        <v>-0.50943396226415094</v>
      </c>
      <c r="G17" s="474">
        <f>IF(ISNUMBER((Datos!N17-Datos!X17)/Datos!X17),(Datos!N17-Datos!X17)/Datos!X17," - ")</f>
        <v>-0.11713665943600868</v>
      </c>
      <c r="H17" s="472">
        <f>IF(ISNUMBER(((NºAsuntos!G17/NºAsuntos!E17)-Datos!BD17)/Datos!BD17),((NºAsuntos!G17/NºAsuntos!E17)-Datos!BD17)/Datos!BD17," - ")</f>
        <v>-8.3358251104687878E-2</v>
      </c>
      <c r="I17" s="473">
        <f>IF(ISNUMBER(((NºAsuntos!I17/NºAsuntos!G17)-Datos!BE17)/Datos!BE17),((NºAsuntos!I17/NºAsuntos!G17)-Datos!BE17)/Datos!BE17," - ")</f>
        <v>0.10198622689380223</v>
      </c>
      <c r="J17" s="478">
        <f>IF(ISNUMBER((('Resol  Asuntos'!D17/NºAsuntos!G17)-Datos!BF17)/Datos!BF17),(('Resol  Asuntos'!D17/NºAsuntos!G17)-Datos!BF17)/Datos!BF17," - ")</f>
        <v>-0.47498410006359981</v>
      </c>
      <c r="K17" s="479">
        <f>IF(ISNUMBER((((NºAsuntos!C17+NºAsuntos!E17)/NºAsuntos!G17)-Datos!BG17)/Datos!BG17),(((NºAsuntos!C17+NºAsuntos!E17)/NºAsuntos!G17)-Datos!BG17)/Datos!BG17," - ")</f>
        <v>3.8890878919242831E-2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0.39189189189189189</v>
      </c>
      <c r="C18" s="473">
        <f>IF(ISNUMBER(
   IF(D_I="SI",(Datos!J18-Datos!T18)/Datos!T18,(Datos!J18+Datos!AD18-(Datos!T18+Datos!AL18))/(Datos!T18+Datos!AL18))
     ),IF(D_I="SI",(Datos!J18-Datos!T18)/Datos!T18,(Datos!J18+Datos!AD18-(Datos!T18+Datos!AL18))/(Datos!T18+Datos!AL18))," - ")</f>
        <v>-0.13580246913580246</v>
      </c>
      <c r="D18" s="473">
        <f>IF(ISNUMBER(
   IF(D_I="SI",(Datos!K18-Datos!U18)/Datos!U18,(Datos!K18+Datos!AE18-(Datos!U18+Datos!AM18))/(Datos!U18+Datos!AM18))
     ),IF(D_I="SI",(Datos!K18-Datos!U18)/Datos!U18,(Datos!K18+Datos!AE18-(Datos!U18+Datos!AM18))/(Datos!U18+Datos!AM18))," - ")</f>
        <v>0.14102564102564102</v>
      </c>
      <c r="E18" s="473">
        <f>IF(ISNUMBER(
   IF(D_I="SI",(Datos!L18-Datos!V18)/Datos!V18,(Datos!L18+Datos!AF18-(Datos!V18+Datos!AN18))/(Datos!V18+Datos!AN18))
     ),IF(D_I="SI",(Datos!L18-Datos!V18)/Datos!V18,(Datos!L18+Datos!AF18-(Datos!V18+Datos!AN18))/(Datos!V18+Datos!AN18))," - ")</f>
        <v>9.0909090909090912E-2</v>
      </c>
      <c r="F18" s="473">
        <f>IF(ISNUMBER((Datos!M18-Datos!W18)/Datos!W18),(Datos!M18-Datos!W18)/Datos!W18," - ")</f>
        <v>0</v>
      </c>
      <c r="G18" s="474">
        <f>IF(ISNUMBER((Datos!N18-Datos!X18)/Datos!X18),(Datos!N18-Datos!X18)/Datos!X18," - ")</f>
        <v>9.0909090909090912E-2</v>
      </c>
      <c r="H18" s="472">
        <f>IF(ISNUMBER(((NºAsuntos!G18/NºAsuntos!E18)-Datos!BD18)/Datos!BD18),((NºAsuntos!G18/NºAsuntos!E18)-Datos!BD18)/Datos!BD18," - ")</f>
        <v>0.3203296703296703</v>
      </c>
      <c r="I18" s="473">
        <f>IF(ISNUMBER(((NºAsuntos!I18/NºAsuntos!G18)-Datos!BE18)/Datos!BE18),((NºAsuntos!I18/NºAsuntos!G18)-Datos!BE18)/Datos!BE18," - ")</f>
        <v>-4.3922369765066464E-2</v>
      </c>
      <c r="J18" s="478">
        <f>IF(ISNUMBER((('Resol  Asuntos'!D18/NºAsuntos!G18)-Datos!BF18)/Datos!BF18),(('Resol  Asuntos'!D18/NºAsuntos!G18)-Datos!BF18)/Datos!BF18," - ")</f>
        <v>-0.12359550561797761</v>
      </c>
      <c r="K18" s="479">
        <f>IF(ISNUMBER((((NºAsuntos!C18+NºAsuntos!E18)/NºAsuntos!G18)-Datos!BG18)/Datos!BG18),(((NºAsuntos!C18+NºAsuntos!E18)/NºAsuntos!G18)-Datos!BG18)/Datos!BG18," - ")</f>
        <v>-2.1819499818774898E-2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-3.7081339712918659E-2</v>
      </c>
      <c r="C20" s="1002">
        <f>IF(ISNUMBER(
   IF(Criterios!B14="SI",(Datos!J20-Datos!T20)/Datos!T20,(Datos!J20+Datos!AD20-(Datos!T20+Datos!AL20))/(Datos!T20+Datos!AL20))
     ),IF(Criterios!B14="SI",(Datos!J20-Datos!T20)/Datos!T20,(Datos!J20+Datos!AD20-(Datos!T20+Datos!AL20))/(Datos!T20+Datos!AL20))," - ")</f>
        <v>4.6728971962616819E-3</v>
      </c>
      <c r="D20" s="1002">
        <f>IF(ISNUMBER(
   IF(Criterios!B14="SI",(Datos!K20-Datos!U20)/Datos!U20,(Datos!K20+Datos!AE20-(Datos!U20+Datos!AM20))/(Datos!U20+Datos!AM20))
     ),IF(Criterios!B14="SI",(Datos!K20-Datos!U20)/Datos!U20,(Datos!K20+Datos!AE20-(Datos!U20+Datos!AM20))/(Datos!U20+Datos!AM20))," - ")</f>
        <v>-4.642857142857143E-2</v>
      </c>
      <c r="E20" s="1002">
        <f>IF(ISNUMBER(
   IF(Criterios!B14="SI",(Datos!L20-Datos!V20)/Datos!V20,(Datos!L20+Datos!AF20-(Datos!V20+Datos!AN20))/(Datos!V20+Datos!AN20))
     ),IF(Criterios!B14="SI",(Datos!L20-Datos!V20)/Datos!V20,(Datos!L20+Datos!AF20-(Datos!V20+Datos!AN20))/(Datos!V20+Datos!AN20))," - ")</f>
        <v>3.5211267605633804E-2</v>
      </c>
      <c r="F20" s="1003">
        <f>IF(ISNUMBER((Datos!M20-Datos!W20)/Datos!W20),(Datos!M20-Datos!W20)/Datos!W20," - ")</f>
        <v>-0.46956521739130436</v>
      </c>
      <c r="G20" s="1004">
        <f>IF(ISNUMBER((Datos!N20-Datos!X20)/Datos!X20),(Datos!N20-Datos!X20)/Datos!X20," - ")</f>
        <v>-9.9009900990099015E-2</v>
      </c>
      <c r="H20" s="1004">
        <f>IF(ISNUMBER(((NºAsuntos!G20/NºAsuntos!E20)-Datos!BD20)/Datos!BD20),((NºAsuntos!G20/NºAsuntos!E20)-Datos!BD20)/Datos!BD20," - ")</f>
        <v>-5.0863787375415269E-2</v>
      </c>
      <c r="I20" s="1004">
        <f>IF(ISNUMBER(((NºAsuntos!I20/NºAsuntos!G20)-Datos!BE20)/Datos!BE20),((NºAsuntos!I20/NºAsuntos!G20)-Datos!BE20)/Datos!BE20," - ")</f>
        <v>8.5614812470327664E-2</v>
      </c>
      <c r="J20" s="1004">
        <f>IF(ISNUMBER((('Resol  Asuntos'!D20/NºAsuntos!G20)-Datos!BF20)/Datos!BF20),(('Resol  Asuntos'!D20/NºAsuntos!G20)-Datos!BF20)/Datos!BF20," - ")</f>
        <v>-0.44373880475492594</v>
      </c>
      <c r="K20" s="1004">
        <f>IF(ISNUMBER((((NºAsuntos!C20+NºAsuntos!E20)/NºAsuntos!G20)-Datos!BG20)/Datos!BG20),(((NºAsuntos!C20+NºAsuntos!E20)/NºAsuntos!G20)-Datos!BG20)/Datos!BG20," - ")</f>
        <v>3.1954737429277243E-2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0.14352392065344224</v>
      </c>
      <c r="C21" s="949">
        <f>IF(ISNUMBER(
   IF(J_V="SI",(Datos!J21-Datos!T21)/Datos!T21,(Datos!J21+Datos!Z21-(Datos!T21+Datos!AH21))/(Datos!T21+Datos!AH21))
     ),IF(J_V="SI",(Datos!J21-Datos!T21)/Datos!T21,(Datos!J21+Datos!Z21-(Datos!T21+Datos!AH21))/(Datos!T21+Datos!AH21))," - ")</f>
        <v>8.4770114942528729E-2</v>
      </c>
      <c r="D21" s="949">
        <f>IF(ISNUMBER(
   IF(J_V="SI",(Datos!K21-Datos!U21)/Datos!U21,(Datos!K21+Datos!AA21-(Datos!U21+Datos!AI21))/(Datos!U21+Datos!AI21))
     ),IF(J_V="SI",(Datos!K21-Datos!U21)/Datos!U21,(Datos!K21+Datos!AA21-(Datos!U21+Datos!AI21))/(Datos!U21+Datos!AI21))," - ")</f>
        <v>0.10513833992094862</v>
      </c>
      <c r="E21" s="949">
        <f>IF(ISNUMBER(
   IF(J_V="SI",(Datos!L21-Datos!V21)/Datos!V21,(Datos!L21+Datos!AB21-(Datos!V21+Datos!AJ21))/(Datos!V21+Datos!AJ21))
     ),IF(J_V="SI",(Datos!L21-Datos!V21)/Datos!V21,(Datos!L21+Datos!AB21-(Datos!V21+Datos!AJ21))/(Datos!V21+Datos!AJ21))," - ")</f>
        <v>0.13525258011950028</v>
      </c>
      <c r="F21" s="950">
        <f>IF(ISNUMBER((Datos!M21-Datos!W21)/Datos!W21),(Datos!M21-Datos!W21)/Datos!W21," - ")</f>
        <v>-2.575107296137339E-2</v>
      </c>
      <c r="G21" s="951">
        <f>IF(ISNUMBER((Datos!N21-Datos!X21)/Datos!X21),(Datos!N21-Datos!X21)/Datos!X21," - ")</f>
        <v>4.7619047619047623E-3</v>
      </c>
      <c r="H21" s="952">
        <f>IF(ISNUMBER((Tasas!B21-Datos!BD21)/Datos!BD21),(Tasas!B21-Datos!BD21)/Datos!BD21," - ")</f>
        <v>1.8776535874146055E-2</v>
      </c>
      <c r="I21" s="953">
        <f>IF(ISNUMBER((Tasas!C21-Datos!BE21)/Datos!BE21),(Tasas!C21-Datos!BE21)/Datos!BE21," - ")</f>
        <v>2.7249294600263051E-2</v>
      </c>
      <c r="J21" s="954">
        <f>IF(ISNUMBER((Tasas!D21-Datos!BF21)/Datos!BF21),(Tasas!D21-Datos!BF21)/Datos!BF21," - ")</f>
        <v>-0.15471543710297492</v>
      </c>
      <c r="K21" s="954">
        <f>IF(ISNUMBER((Tasas!E21-Datos!BG21)/Datos!BG21),(Tasas!E21-Datos!BG21)/Datos!BG21," - ")</f>
        <v>1.0907404285581315E-2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1Y9tXBbatMsi+A5Uh1Fmcp+7Y74MwExlxW3PrW6mN+vIpcDZjFsOEkFvAbjon8wDABY7C2w1UBYBltlNTAiTeg==" saltValue="HvIAtyXEDnFRlLqFN5OgH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LOJA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1.875</v>
      </c>
      <c r="D10" s="461">
        <f>IF(ISNUMBER('Resol  Asuntos'!D10/NºAsuntos!G10),'Resol  Asuntos'!D10/NºAsuntos!G10," - ")</f>
        <v>1</v>
      </c>
      <c r="E10" s="462">
        <f>IF(ISNUMBER((NºAsuntos!C10+NºAsuntos!E10)/NºAsuntos!G10),(NºAsuntos!C10+NºAsuntos!E10)/NºAsuntos!G10," - ")</f>
        <v>2.875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0.91176470588235292</v>
      </c>
      <c r="C12" s="460">
        <f>IF(ISNUMBER(NºAsuntos!I12/NºAsuntos!G12),NºAsuntos!I12/NºAsuntos!G12," - ")</f>
        <v>2.0254668930390491</v>
      </c>
      <c r="D12" s="461">
        <f>IF(ISNUMBER('Resol  Asuntos'!D12/NºAsuntos!G12),'Resol  Asuntos'!D12/NºAsuntos!G12," - ")</f>
        <v>0.26825127334465193</v>
      </c>
      <c r="E12" s="462">
        <f>IF(ISNUMBER((NºAsuntos!C12+NºAsuntos!E12)/NºAsuntos!G12),(NºAsuntos!C12+NºAsuntos!E12)/NºAsuntos!G12," - ")</f>
        <v>3.0254668930390491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0.91846153846153844</v>
      </c>
      <c r="C14" s="1006">
        <f>IF(ISNUMBER(NºAsuntos!I14/NºAsuntos!G14),NºAsuntos!I14/NºAsuntos!G14," - ")</f>
        <v>2.0234505862646568</v>
      </c>
      <c r="D14" s="1007">
        <f>IF(ISNUMBER('Resol  Asuntos'!D14/NºAsuntos!G14),'Resol  Asuntos'!D14/NºAsuntos!G14," - ")</f>
        <v>0.27805695142378561</v>
      </c>
      <c r="E14" s="1008">
        <f>IF(ISNUMBER((NºAsuntos!C14+NºAsuntos!E14)/NºAsuntos!G14),(NºAsuntos!C14+NºAsuntos!E14)/NºAsuntos!G14," - ")</f>
        <v>3.0234505862646568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0.90126582278481016</v>
      </c>
      <c r="C17" s="460">
        <f>IF(ISNUMBER(NºAsuntos!I17/NºAsuntos!G17),NºAsuntos!I17/NºAsuntos!G17," - ")</f>
        <v>1.1207865168539326</v>
      </c>
      <c r="D17" s="461">
        <f>IF(ISNUMBER('Resol  Asuntos'!D17/NºAsuntos!G17),'Resol  Asuntos'!D17/NºAsuntos!G17," - ")</f>
        <v>7.3033707865168537E-2</v>
      </c>
      <c r="E17" s="462">
        <f>IF(ISNUMBER((NºAsuntos!C17+NºAsuntos!E17)/NºAsuntos!G17),(NºAsuntos!C17+NºAsuntos!E17)/NºAsuntos!G17," - ")</f>
        <v>2.095505617977528</v>
      </c>
      <c r="G17" s="480"/>
    </row>
    <row r="18" spans="1:7">
      <c r="A18" s="414" t="str">
        <f>Datos!A18</f>
        <v>Jdos. Violencia contra la mujer</v>
      </c>
      <c r="B18" s="459">
        <f>IF(ISNUMBER(NºAsuntos!G18/NºAsuntos!E18),NºAsuntos!G18/NºAsuntos!E18," - ")</f>
        <v>1.2714285714285714</v>
      </c>
      <c r="C18" s="460">
        <f>IF(ISNUMBER(NºAsuntos!I18/NºAsuntos!G18),NºAsuntos!I18/NºAsuntos!G18," - ")</f>
        <v>0.9438202247191011</v>
      </c>
      <c r="D18" s="461">
        <f>IF(ISNUMBER('Resol  Asuntos'!D18/NºAsuntos!G18),'Resol  Asuntos'!D18/NºAsuntos!G18," - ")</f>
        <v>0.10112359550561797</v>
      </c>
      <c r="E18" s="462">
        <f>IF(ISNUMBER((NºAsuntos!C18+NºAsuntos!E18)/NºAsuntos!G18),(NºAsuntos!C18+NºAsuntos!E18)/NºAsuntos!G18," - ")</f>
        <v>1.9438202247191012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0.93139534883720931</v>
      </c>
      <c r="C20" s="1006">
        <f>IF(ISNUMBER(NºAsuntos!I20/NºAsuntos!G20),NºAsuntos!I20/NºAsuntos!G20," - ")</f>
        <v>1.101123595505618</v>
      </c>
      <c r="D20" s="1009">
        <f>IF(ISNUMBER('Resol  Asuntos'!D20/NºAsuntos!G20),'Resol  Asuntos'!D20/NºAsuntos!G20," - ")</f>
        <v>7.6154806491885149E-2</v>
      </c>
      <c r="E20" s="1008">
        <f>IF(ISNUMBER((NºAsuntos!C20+NºAsuntos!E20)/NºAsuntos!G20),(NºAsuntos!C20+NºAsuntos!E20)/NºAsuntos!G20," - ")</f>
        <v>2.0786516853932584</v>
      </c>
      <c r="G20" s="480"/>
    </row>
    <row r="21" spans="1:7" ht="15.75" customHeight="1" thickTop="1" thickBot="1">
      <c r="A21" s="940" t="str">
        <f>Datos!A21</f>
        <v>TOTAL JURISDICCIONES</v>
      </c>
      <c r="B21" s="955">
        <f>IF(ISNUMBER(NºAsuntos!G21/NºAsuntos!E21),NºAsuntos!G21/NºAsuntos!E21," - ")</f>
        <v>0.92582781456953644</v>
      </c>
      <c r="C21" s="956">
        <f>IF(ISNUMBER(NºAsuntos!I21/NºAsuntos!G21),NºAsuntos!I21/NºAsuntos!G21," - ")</f>
        <v>1.4949928469241773</v>
      </c>
      <c r="D21" s="957">
        <f>IF(ISNUMBER('Resol  Asuntos'!D21/NºAsuntos!G21),'Resol  Asuntos'!D21/NºAsuntos!G21," - ")</f>
        <v>0.16237482117310442</v>
      </c>
      <c r="E21" s="958">
        <f>IF(ISNUMBER((NºAsuntos!C21+NºAsuntos!E21)/NºAsuntos!G21),(NºAsuntos!C21+NºAsuntos!E21)/NºAsuntos!G21," - ")</f>
        <v>2.4821173104434906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xVP+HJbuF4Bvo5eGENt2JWtL0+0mgRGRBopyl38TIlvVDw/4saVQRWL/K39R6bd/mkCdCeBZz6WW7MauUMzdg==" saltValue="5/4mqY2+cVSkhrH1CeJwP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LOJA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19</v>
      </c>
      <c r="G10" s="343">
        <f>IF(ISNUMBER(Datos!I10),Datos!I10," - ")</f>
        <v>19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0</v>
      </c>
      <c r="Y10" s="344">
        <f t="shared" ref="Y10:Y13" si="0">SUM(W10:X10)</f>
        <v>8</v>
      </c>
      <c r="Z10" s="345" t="str">
        <f>IF(ISNUMBER(Datos!CC10),Datos!CC10," - ")</f>
        <v xml:space="preserve"> - </v>
      </c>
      <c r="AA10" s="342">
        <f>IF(ISNUMBER(Datos!L10),Datos!L10,"-")</f>
        <v>15</v>
      </c>
      <c r="AB10" s="344">
        <f>IF(ISNUMBER(Datos!R10),Datos!R10," - ")</f>
        <v>7</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8</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5.625</v>
      </c>
      <c r="AN10" s="249">
        <f>IF(ISNUMBER('Resol  Asuntos'!D10/NºAsuntos!G10),'Resol  Asuntos'!D10/NºAsuntos!G10," - ")</f>
        <v>1</v>
      </c>
      <c r="AO10" s="250">
        <f>IF(ISNUMBER((NºAsuntos!C10+NºAsuntos!E10)/NºAsuntos!G10),(NºAsuntos!C10+NºAsuntos!E10)/NºAsuntos!G10," - ")</f>
        <v>2.875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175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176</v>
      </c>
      <c r="Y12" s="344">
        <f t="shared" si="0"/>
        <v>176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906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158</v>
      </c>
      <c r="AJ12" s="234" t="str">
        <f>IF(ISNUMBER(Datos!BW12),Datos!BW12," - ")</f>
        <v xml:space="preserve"> - </v>
      </c>
      <c r="AK12" s="233" t="str">
        <f>IF(ISNUMBER(Datos!BX12),Datos!BX12," - ")</f>
        <v xml:space="preserve"> - </v>
      </c>
      <c r="AL12" s="248">
        <f>IF(ISNUMBER(NºAsuntos!G12/NºAsuntos!E12),NºAsuntos!G12/NºAsuntos!E12," - ")</f>
        <v>0.91176470588235292</v>
      </c>
      <c r="AM12" s="265">
        <f>IF(ISNUMBER(((NºAsuntos!I12/NºAsuntos!G12)*11)/factor_trimestre),((NºAsuntos!I12/NºAsuntos!G12)*11)/factor_trimestre," - ")</f>
        <v>6.076400679117147</v>
      </c>
      <c r="AN12" s="249">
        <f>IF(ISNUMBER('Resol  Asuntos'!D12/NºAsuntos!G12),'Resol  Asuntos'!D12/NºAsuntos!G12," - ")</f>
        <v>0.26825127334465193</v>
      </c>
      <c r="AO12" s="250">
        <f>IF(ISNUMBER((NºAsuntos!C12+NºAsuntos!E12)/NºAsuntos!G12),(NºAsuntos!C12+NºAsuntos!E12)/NºAsuntos!G12," - ")</f>
        <v>3.0254668930390491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19</v>
      </c>
      <c r="G14" s="1013">
        <f t="shared" si="5"/>
        <v>19</v>
      </c>
      <c r="H14" s="1012">
        <f t="shared" si="5"/>
        <v>0</v>
      </c>
      <c r="I14" s="1014">
        <f t="shared" si="5"/>
        <v>0</v>
      </c>
      <c r="J14" s="1014">
        <f t="shared" si="5"/>
        <v>0</v>
      </c>
      <c r="K14" s="1014">
        <f t="shared" si="5"/>
        <v>0</v>
      </c>
      <c r="L14" s="1014">
        <f t="shared" si="5"/>
        <v>175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176</v>
      </c>
      <c r="Y14" s="1015">
        <f t="shared" si="6"/>
        <v>184</v>
      </c>
      <c r="Z14" s="1015">
        <f t="shared" si="6"/>
        <v>0</v>
      </c>
      <c r="AA14" s="1015">
        <f t="shared" si="6"/>
        <v>15</v>
      </c>
      <c r="AB14" s="1015">
        <f t="shared" si="6"/>
        <v>913</v>
      </c>
      <c r="AC14" s="1015">
        <f t="shared" si="6"/>
        <v>22</v>
      </c>
      <c r="AD14" s="1015">
        <f t="shared" si="6"/>
        <v>0</v>
      </c>
      <c r="AE14" s="1019">
        <f t="shared" si="6"/>
        <v>0</v>
      </c>
      <c r="AF14" s="1012">
        <f t="shared" si="6"/>
        <v>0</v>
      </c>
      <c r="AG14" s="1020">
        <f t="shared" si="6"/>
        <v>0</v>
      </c>
      <c r="AH14" s="1017">
        <f t="shared" si="6"/>
        <v>0</v>
      </c>
      <c r="AI14" s="1012">
        <f t="shared" si="6"/>
        <v>166</v>
      </c>
      <c r="AJ14" s="1014">
        <f t="shared" si="6"/>
        <v>0</v>
      </c>
      <c r="AK14" s="1017">
        <f>SUBTOTAL(9,AK9:AK13)</f>
        <v>0</v>
      </c>
      <c r="AL14" s="1021">
        <f>IF(ISNUMBER(NºAsuntos!G14/NºAsuntos!E14),NºAsuntos!G14/NºAsuntos!E14," - ")</f>
        <v>0.91846153846153844</v>
      </c>
      <c r="AM14" s="1021">
        <f>IF(ISNUMBER(((NºAsuntos!I14/NºAsuntos!G14)*11)/factor_trimestre),((NºAsuntos!I14/NºAsuntos!G14)*11)/factor_trimestre," - ")</f>
        <v>6.0703517587939704</v>
      </c>
      <c r="AN14" s="1022">
        <f>IF(ISNUMBER('Resol  Asuntos'!D14/NºAsuntos!G14),'Resol  Asuntos'!D14/NºAsuntos!G14," - ")</f>
        <v>0.27805695142378561</v>
      </c>
      <c r="AO14" s="1023">
        <f>IF(ISNUMBER((NºAsuntos!C14+NºAsuntos!E14)/NºAsuntos!G14),(NºAsuntos!C14+NºAsuntos!E14)/NºAsuntos!G14," - ")</f>
        <v>3.0234505862646568</v>
      </c>
      <c r="AP14" s="1024" t="str">
        <f t="shared" si="2"/>
        <v xml:space="preserve"> - </v>
      </c>
      <c r="AQ14" s="1024">
        <f>IF(ISNUMBER((H14-W14+K14)/(F14)),(H14-W14+K14)/(F14)," - ")</f>
        <v>-0.42105263157894735</v>
      </c>
      <c r="AR14" s="1025">
        <f>IF(ISNUMBER((Datos!P14-Datos!Q14)/(Datos!R14-Datos!P14+Datos!Q14)),(Datos!P14-Datos!Q14)/(Datos!R14-Datos!P14+Datos!Q14)," - ")</f>
        <v>-1.0940919037199124E-3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720</v>
      </c>
      <c r="G17" s="343">
        <f>IF(ISNUMBER(IF(D_I="SI",Datos!I17,Datos!I17+Datos!AC17)),IF(D_I="SI",Datos!I17,Datos!I17+Datos!AC17)," - ")</f>
        <v>702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712</v>
      </c>
      <c r="X17" s="231">
        <f>IF(ISNUMBER(Datos!Q17),Datos!Q17," - ")</f>
        <v>26</v>
      </c>
      <c r="Y17" s="344">
        <f t="shared" ref="Y17:Y19" si="9">SUM(W17:X17)</f>
        <v>738</v>
      </c>
      <c r="Z17" s="345" t="str">
        <f>IF(ISNUMBER(Datos!CC17),Datos!CC17," - ")</f>
        <v xml:space="preserve"> - </v>
      </c>
      <c r="AA17" s="342">
        <f>IF(ISNUMBER(IF(D_I="SI",Datos!L17,Datos!L17+Datos!AF17)),IF(D_I="SI",Datos!L17,Datos!L17+Datos!AF17)," - ")</f>
        <v>798</v>
      </c>
      <c r="AB17" s="344">
        <f>IF(ISNUMBER(Datos!R17),Datos!R17," - ")</f>
        <v>132</v>
      </c>
      <c r="AC17" s="344">
        <f t="shared" si="8"/>
        <v>930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52</v>
      </c>
      <c r="AJ17" s="236" t="str">
        <f>IF(ISNUMBER(Datos!BW17),Datos!BW17," - ")</f>
        <v xml:space="preserve"> - </v>
      </c>
      <c r="AK17" s="237" t="str">
        <f>IF(ISNUMBER(Datos!BX17),Datos!BX17," - ")</f>
        <v xml:space="preserve"> - </v>
      </c>
      <c r="AL17" s="248">
        <f>IF(ISNUMBER(NºAsuntos!G17/NºAsuntos!E17),NºAsuntos!G17/NºAsuntos!E17," - ")</f>
        <v>0.90126582278481016</v>
      </c>
      <c r="AM17" s="265">
        <f>IF(ISNUMBER(((NºAsuntos!I17/NºAsuntos!G17)*11)/factor_trimestre),((NºAsuntos!I17/NºAsuntos!G17)*11)/factor_trimestre," - ")</f>
        <v>3.362359550561798</v>
      </c>
      <c r="AN17" s="249">
        <f>IF(ISNUMBER('Resol  Asuntos'!D17/NºAsuntos!G17),'Resol  Asuntos'!D17/NºAsuntos!G17," - ")</f>
        <v>7.3033707865168537E-2</v>
      </c>
      <c r="AO17" s="250">
        <f>IF(ISNUMBER((NºAsuntos!C17+NºAsuntos!E17)/NºAsuntos!G17),(NºAsuntos!C17+NºAsuntos!E17)/NºAsuntos!G17," - ")</f>
        <v>2.095505617977528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103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89</v>
      </c>
      <c r="X18" s="231">
        <f>IF(ISNUMBER(Datos!Q18),Datos!Q18," - ")</f>
        <v>0</v>
      </c>
      <c r="Y18" s="344">
        <f t="shared" si="9"/>
        <v>89</v>
      </c>
      <c r="Z18" s="345" t="str">
        <f>IF(ISNUMBER(Datos!CC18),Datos!CC18," - ")</f>
        <v xml:space="preserve"> - </v>
      </c>
      <c r="AA18" s="342">
        <f>IF(ISNUMBER(Datos!L18),Datos!L18,"-")</f>
        <v>84</v>
      </c>
      <c r="AB18" s="344">
        <f>IF(ISNUMBER(Datos!R18),Datos!R18," - ")</f>
        <v>4</v>
      </c>
      <c r="AC18" s="344">
        <f t="shared" si="8"/>
        <v>88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9</v>
      </c>
      <c r="AJ18" s="236" t="str">
        <f>IF(ISNUMBER(Datos!BW18),Datos!BW18," - ")</f>
        <v xml:space="preserve"> - </v>
      </c>
      <c r="AK18" s="237" t="str">
        <f>IF(ISNUMBER(Datos!BX18),Datos!BX18," - ")</f>
        <v xml:space="preserve"> - </v>
      </c>
      <c r="AL18" s="248">
        <f>IF(ISNUMBER(NºAsuntos!G18/NºAsuntos!E18),NºAsuntos!G18/NºAsuntos!E18," - ")</f>
        <v>1.2714285714285714</v>
      </c>
      <c r="AM18" s="265">
        <f>IF(ISNUMBER(((NºAsuntos!I18/NºAsuntos!G18)*11)/factor_trimestre),((NºAsuntos!I18/NºAsuntos!G18)*11)/factor_trimestre," - ")</f>
        <v>2.8314606741573032</v>
      </c>
      <c r="AN18" s="249">
        <f>IF(ISNUMBER('Resol  Asuntos'!D18/NºAsuntos!G18),'Resol  Asuntos'!D18/NºAsuntos!G18," - ")</f>
        <v>0.10112359550561797</v>
      </c>
      <c r="AO18" s="250">
        <f>IF(ISNUMBER((NºAsuntos!C18+NºAsuntos!E18)/NºAsuntos!G18),(NºAsuntos!C18+NºAsuntos!E18)/NºAsuntos!G18," - ")</f>
        <v>1.9438202247191012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720</v>
      </c>
      <c r="G20" s="1013">
        <f>SUBTOTAL(9,G16:G19)</f>
        <v>805</v>
      </c>
      <c r="H20" s="1012">
        <f t="shared" ref="H20:O20" si="12">SUBTOTAL(9,H15:H19)</f>
        <v>0</v>
      </c>
      <c r="I20" s="1014">
        <f t="shared" si="12"/>
        <v>0</v>
      </c>
      <c r="J20" s="1014">
        <f t="shared" si="12"/>
        <v>0</v>
      </c>
      <c r="K20" s="1014">
        <f t="shared" si="12"/>
        <v>0</v>
      </c>
      <c r="L20" s="1014">
        <f t="shared" si="12"/>
        <v>30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801</v>
      </c>
      <c r="X20" s="1014">
        <f t="shared" si="13"/>
        <v>26</v>
      </c>
      <c r="Y20" s="1015">
        <f t="shared" si="13"/>
        <v>827</v>
      </c>
      <c r="Z20" s="1015">
        <f t="shared" si="13"/>
        <v>0</v>
      </c>
      <c r="AA20" s="1015">
        <f t="shared" si="13"/>
        <v>882</v>
      </c>
      <c r="AB20" s="1015">
        <f t="shared" si="13"/>
        <v>136</v>
      </c>
      <c r="AC20" s="1015">
        <f t="shared" si="13"/>
        <v>1018</v>
      </c>
      <c r="AD20" s="1015">
        <f t="shared" si="13"/>
        <v>0</v>
      </c>
      <c r="AE20" s="1019">
        <f t="shared" si="13"/>
        <v>0</v>
      </c>
      <c r="AF20" s="1012">
        <f t="shared" si="13"/>
        <v>0</v>
      </c>
      <c r="AG20" s="1020">
        <f t="shared" si="13"/>
        <v>0</v>
      </c>
      <c r="AH20" s="1017">
        <f t="shared" si="13"/>
        <v>0</v>
      </c>
      <c r="AI20" s="1012">
        <f t="shared" si="13"/>
        <v>61</v>
      </c>
      <c r="AJ20" s="1014">
        <f t="shared" si="13"/>
        <v>0</v>
      </c>
      <c r="AK20" s="1017">
        <f t="shared" si="13"/>
        <v>0</v>
      </c>
      <c r="AL20" s="1021">
        <f>IF(ISNUMBER(NºAsuntos!G20/NºAsuntos!E20),NºAsuntos!G20/NºAsuntos!E20," - ")</f>
        <v>0.93139534883720931</v>
      </c>
      <c r="AM20" s="1021">
        <f>IF(ISNUMBER(((NºAsuntos!I20/NºAsuntos!G20)*11)/factor_trimestre),((NºAsuntos!I20/NºAsuntos!G20)*11)/factor_trimestre," - ")</f>
        <v>3.3033707865168545</v>
      </c>
      <c r="AN20" s="1022">
        <f>IF(ISNUMBER('Resol  Asuntos'!D20/NºAsuntos!G20),'Resol  Asuntos'!D20/NºAsuntos!G20," - ")</f>
        <v>7.6154806491885149E-2</v>
      </c>
      <c r="AO20" s="1023">
        <f>IF(ISNUMBER((NºAsuntos!C20+NºAsuntos!E20)/NºAsuntos!G20),(NºAsuntos!C20+NºAsuntos!E20)/NºAsuntos!G20," - ")</f>
        <v>2.0786516853932584</v>
      </c>
      <c r="AP20" s="1024" t="str">
        <f t="shared" si="2"/>
        <v xml:space="preserve"> - </v>
      </c>
      <c r="AQ20" s="1024">
        <f>IF(ISNUMBER((H20-W20+K20)/(F20)),(H20-W20+K20)/(F20)," - ")</f>
        <v>-1.1125</v>
      </c>
      <c r="AR20" s="1025">
        <f>IF(ISNUMBER((Datos!P20-Datos!Q20)/(Datos!R20-Datos!P20+Datos!Q20)),(Datos!P20-Datos!Q20)/(Datos!R20-Datos!P20+Datos!Q20)," - ")</f>
        <v>3.0303030303030304E-2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739</v>
      </c>
      <c r="G21" s="968">
        <f t="shared" si="15"/>
        <v>824</v>
      </c>
      <c r="H21" s="967">
        <f t="shared" si="15"/>
        <v>0</v>
      </c>
      <c r="I21" s="969">
        <f t="shared" si="15"/>
        <v>0</v>
      </c>
      <c r="J21" s="969">
        <f t="shared" si="15"/>
        <v>0</v>
      </c>
      <c r="K21" s="1028">
        <f t="shared" si="15"/>
        <v>0</v>
      </c>
      <c r="L21" s="969">
        <f t="shared" si="15"/>
        <v>205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809</v>
      </c>
      <c r="X21" s="968">
        <f t="shared" si="16"/>
        <v>202</v>
      </c>
      <c r="Y21" s="975">
        <f t="shared" si="16"/>
        <v>1011</v>
      </c>
      <c r="Z21" s="975">
        <f t="shared" si="16"/>
        <v>0</v>
      </c>
      <c r="AA21" s="975">
        <f t="shared" si="16"/>
        <v>897</v>
      </c>
      <c r="AB21" s="975">
        <f t="shared" si="16"/>
        <v>1049</v>
      </c>
      <c r="AC21" s="975">
        <f t="shared" si="16"/>
        <v>1040</v>
      </c>
      <c r="AD21" s="975">
        <f t="shared" si="16"/>
        <v>0</v>
      </c>
      <c r="AE21" s="977">
        <f t="shared" si="16"/>
        <v>0</v>
      </c>
      <c r="AF21" s="978">
        <f t="shared" si="16"/>
        <v>0</v>
      </c>
      <c r="AG21" s="979">
        <f t="shared" si="16"/>
        <v>0</v>
      </c>
      <c r="AH21" s="977">
        <f t="shared" si="16"/>
        <v>0</v>
      </c>
      <c r="AI21" s="967">
        <f t="shared" si="16"/>
        <v>227</v>
      </c>
      <c r="AJ21" s="967">
        <f t="shared" si="16"/>
        <v>0</v>
      </c>
      <c r="AK21" s="977">
        <f t="shared" si="16"/>
        <v>0</v>
      </c>
      <c r="AL21" s="1031">
        <f>IF(ISNUMBER(NºAsuntos!G21/NºAsuntos!E21),NºAsuntos!G21/NºAsuntos!E21," - ")</f>
        <v>0.92582781456953644</v>
      </c>
      <c r="AM21" s="1032">
        <f>IF(ISNUMBER(((NºAsuntos!I21/NºAsuntos!G21)*11)/factor_trimestre),((NºAsuntos!I21/NºAsuntos!G21)*11)/factor_trimestre," - ")</f>
        <v>4.4849785407725316</v>
      </c>
      <c r="AN21" s="1032">
        <f>IF(ISNUMBER('Resol  Asuntos'!D21/NºAsuntos!G21),'Resol  Asuntos'!D21/NºAsuntos!G21," - ")</f>
        <v>0.16237482117310442</v>
      </c>
      <c r="AO21" s="1033">
        <f>IF(ISNUMBER((NºAsuntos!C21+NºAsuntos!E21)/NºAsuntos!G21),(NºAsuntos!C21+NºAsuntos!E21)/NºAsuntos!G21," - ")</f>
        <v>2.4821173104434906</v>
      </c>
      <c r="AP21" s="1034" t="str">
        <f t="shared" si="2"/>
        <v xml:space="preserve"> - </v>
      </c>
      <c r="AQ21" s="1035">
        <f>IF(OR(ISNUMBER(FIND("01",Criterios!A8,1)),ISNUMBER(FIND("02",Criterios!A8,1)),ISNUMBER(FIND("03",Criterios!A8,1)),ISNUMBER(FIND("04",Criterios!A8,1))),(I21-W21+K21)/(F21-K21),(H21-W21+K21)/(F21-K21))</f>
        <v>-1.094722598105548</v>
      </c>
      <c r="AR21" s="1036">
        <f>IF(ISNUMBER((Datos!P21-Datos!Q21)/(Datos!R21-Datos!P21+Datos!Q21)),(Datos!P21-Datos!Q21)/(Datos!R21-Datos!P21+Datos!Q21)," - ")</f>
        <v>2.8680688336520078E-3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329.6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404.72253870192765</v>
      </c>
      <c r="G23" s="258">
        <f>IF(ISNUMBER(STDEV(G8:G20)),STDEV(G8:G20),"-")</f>
        <v>390.18559686385146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397.80937646063597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70.338230477221046</v>
      </c>
      <c r="AJ23" s="257">
        <f t="shared" si="20"/>
        <v>0</v>
      </c>
      <c r="AK23" s="259">
        <f t="shared" si="20"/>
        <v>0</v>
      </c>
      <c r="AL23" s="254">
        <f t="shared" si="20"/>
        <v>0.43750918445686332</v>
      </c>
      <c r="AM23" s="255">
        <f t="shared" si="20"/>
        <v>1.5306720353908592</v>
      </c>
      <c r="AN23" s="255">
        <f t="shared" si="20"/>
        <v>0.35571330254071709</v>
      </c>
      <c r="AO23" s="256">
        <f t="shared" si="20"/>
        <v>0.51786764520316941</v>
      </c>
      <c r="AP23" s="296" t="str">
        <f t="shared" si="20"/>
        <v>-</v>
      </c>
      <c r="AQ23" s="297">
        <f t="shared" si="20"/>
        <v>0.48892712304411956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3udb4IDkLqNnAlZEjV5ev6st0r6r0hLEAhhelcZtV409CgqzoTpu6SvZDSEl3iyroGCvM3JhHMURtPEYm/w3rA==" saltValue="M72j2yshtRCU6/A09de1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LOJA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0.72727272727272729</v>
      </c>
      <c r="E10" s="358">
        <f>IF(ISNUMBER((Datos!J10-Datos!T10)/Datos!T10),(Datos!J10-Datos!T10)/Datos!T10," - ")</f>
        <v>0.33333333333333331</v>
      </c>
      <c r="F10" s="358">
        <f>IF(ISNUMBER((Datos!K10-Datos!U10)/Datos!U10),(Datos!K10-Datos!U10)/Datos!U10," - ")</f>
        <v>1.6666666666666667</v>
      </c>
      <c r="G10" s="359">
        <f>IF(ISNUMBER((Datos!L10-Datos!V10)/Datos!V10),(Datos!L10-Datos!V10)/Datos!V10," - ")</f>
        <v>0.36363636363636365</v>
      </c>
      <c r="H10" s="235">
        <f>IF(ISNUMBER((Datos!M10-Datos!W10)/Datos!W10),(Datos!M10-Datos!W10)/Datos!W10," - ")</f>
        <v>1.6666666666666667</v>
      </c>
      <c r="I10" s="360">
        <f>IF(ISNUMBER((Tasas!C10-Datos!BE10)/Datos!BE10),(Tasas!C10-Datos!BE10)/Datos!BE10," - ")</f>
        <v>-0.48863636363636359</v>
      </c>
      <c r="J10" s="359">
        <f>IF(ISNUMBER((Tasas!D10-Datos!BF10)/Datos!BF10),(Tasas!D10-Datos!BF10)/Datos!BF10," - ")</f>
        <v>0</v>
      </c>
      <c r="K10" s="361">
        <f>IF(ISNUMBER((Tasas!E10-Datos!BG10)/Datos!BG10),(Tasas!E10-Datos!BG10)/Datos!BG10," - ")</f>
        <v>-0.38392857142857145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0.37391304347826088</v>
      </c>
      <c r="I12" s="360">
        <f>IF(ISNUMBER((Tasas!C12-Datos!BE12)/Datos!BE12),(Tasas!C12-Datos!BE12)/Datos!BE12," - ")</f>
        <v>-0.12602553286045121</v>
      </c>
      <c r="J12" s="359">
        <f>IF(ISNUMBER((Tasas!D12-Datos!BF12)/Datos!BF12),(Tasas!D12-Datos!BF12)/Datos!BF12," - ")</f>
        <v>-9.4383701188455099E-2</v>
      </c>
      <c r="K12" s="361">
        <f>IF(ISNUMBER((Tasas!E12-Datos!BG12)/Datos!BG12),(Tasas!E12-Datos!BG12)/Datos!BG12," - ")</f>
        <v>-8.8037836526800917E-2</v>
      </c>
      <c r="M12" t="e">
        <f>IF(Monitorios="SI",Datos!CE12,0)</f>
        <v>#REF!</v>
      </c>
      <c r="N12" t="e">
        <f>IF(Monitorios="SI",Datos!CF12,0)</f>
        <v>#REF!</v>
      </c>
      <c r="O12" t="e">
        <f>IF(Monitorios="SI",Datos!CG12,0)</f>
        <v>#REF!</v>
      </c>
      <c r="P12" t="e">
        <f>IF(Monitorios="SI",Datos!CH12,0)</f>
        <v>#REF!</v>
      </c>
      <c r="Q12">
        <f>IF(J_V="SI",0,Datos!AG12)</f>
        <v>55</v>
      </c>
      <c r="R12">
        <f>IF(J_V="SI",0,Datos!AH12)</f>
        <v>47</v>
      </c>
      <c r="S12">
        <f>IF(J_V="SI",0,Datos!AI12)</f>
        <v>42</v>
      </c>
      <c r="T12">
        <f>IF(J_V="SI",0,Datos!AJ12)</f>
        <v>60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0.40677966101694918</v>
      </c>
      <c r="I14" s="367">
        <f>IF(ISNUMBER((Tasas!C14-Datos!BE14)/Datos!BE14),(Tasas!C14-Datos!BE14)/Datos!BE14," - ")</f>
        <v>-0.13046865605411617</v>
      </c>
      <c r="J14" s="365">
        <f>IF(ISNUMBER((Tasas!D14-Datos!BF14)/Datos!BF14),(Tasas!D14-Datos!BF14)/Datos!BF14," - ")</f>
        <v>-7.6764028475711746E-2</v>
      </c>
      <c r="K14" s="368">
        <f>IF(ISNUMBER((Tasas!E14-Datos!BG14)/Datos!BG14),(Tasas!E14-Datos!BG14)/Datos!BG14," - ")</f>
        <v>-9.1254243873777147E-2</v>
      </c>
      <c r="M14" t="e">
        <f>IF(Monitorios="SI",Datos!CE14,0)</f>
        <v>#REF!</v>
      </c>
      <c r="N14" t="e">
        <f>IF(Monitorios="SI",Datos!CF14,0)</f>
        <v>#REF!</v>
      </c>
      <c r="O14" t="e">
        <f>IF(Monitorios="SI",Datos!CG14,0)</f>
        <v>#REF!</v>
      </c>
      <c r="P14" t="e">
        <f>IF(Monitorios="SI",Datos!CH14,0)</f>
        <v>#REF!</v>
      </c>
      <c r="Q14">
        <f>IF(J_V="SI",0,Datos!AG14)</f>
        <v>55</v>
      </c>
      <c r="R14">
        <f>IF(J_V="SI",0,Datos!AH14)</f>
        <v>47</v>
      </c>
      <c r="S14">
        <f>IF(J_V="SI",0,Datos!AI14)</f>
        <v>42</v>
      </c>
      <c r="T14">
        <f>IF(J_V="SI",0,Datos!AJ14)</f>
        <v>60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-7.874015748031496E-2</v>
      </c>
      <c r="E17" s="358">
        <f>IF(ISNUMBER(
   IF(D_I="SI",(Datos!J17-Datos!T17)/Datos!T17,(Datos!J17+Datos!AD17-(Datos!T17+Datos!AL17))/(Datos!T17+Datos!AL17))
     ),IF(D_I="SI",(Datos!J17-Datos!T17)/Datos!T17,(Datos!J17+Datos!AD17-(Datos!T17+Datos!AL17))/(Datos!T17+Datos!AL17))," - ")</f>
        <v>1.935483870967742E-2</v>
      </c>
      <c r="F17" s="358">
        <f>IF(ISNUMBER(
   IF(D_I="SI",(Datos!K17-Datos!U17)/Datos!U17,(Datos!K17+Datos!AE17-(Datos!U17+Datos!AM17))/(Datos!U17+Datos!AM17))
     ),IF(D_I="SI",(Datos!K17-Datos!U17)/Datos!U17,(Datos!K17+Datos!AE17-(Datos!U17+Datos!AM17))/(Datos!U17+Datos!AM17))," - ")</f>
        <v>-6.5616797900262466E-2</v>
      </c>
      <c r="G17" s="359">
        <f>IF(ISNUMBER(
   IF(D_I="SI",(Datos!L17-Datos!V17)/Datos!V17,(Datos!L17+Datos!AF17-(Datos!V17+Datos!AN17))/(Datos!V17+Datos!AN17))
     ),IF(D_I="SI",(Datos!L17-Datos!V17)/Datos!V17,(Datos!L17+Datos!AF17-(Datos!V17+Datos!AN17))/(Datos!V17+Datos!AN17))," - ")</f>
        <v>2.9677419354838711E-2</v>
      </c>
      <c r="H17" s="235">
        <f>IF(ISNUMBER((Datos!M17-Datos!W17)/Datos!W17),(Datos!M17-Datos!W17)/Datos!W17," - ")</f>
        <v>-0.50943396226415094</v>
      </c>
      <c r="I17" s="360">
        <f>IF(ISNUMBER((Tasas!C17-Datos!BE17)/Datos!BE17),(Tasas!C17-Datos!BE17)/Datos!BE17," - ")</f>
        <v>0.10198622689380223</v>
      </c>
      <c r="J17" s="359">
        <f>IF(ISNUMBER((Tasas!D17-Datos!BF17)/Datos!BF17),(Tasas!D17-Datos!BF17)/Datos!BF17," - ")</f>
        <v>-0.47498410006359981</v>
      </c>
      <c r="K17" s="361">
        <f>IF(ISNUMBER((Tasas!E17-Datos!BG17)/Datos!BG17),(Tasas!E17-Datos!BG17)/Datos!BG17," - ")</f>
        <v>3.8890878919242831E-2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0.39189189189189189</v>
      </c>
      <c r="E18" s="358">
        <f>IF(ISNUMBER(
   IF(D_I="SI",(Datos!J18-Datos!T18)/Datos!T18,(Datos!J18+Datos!AD18-(Datos!T18+Datos!AL18))/(Datos!T18+Datos!AL18))
     ),IF(D_I="SI",(Datos!J18-Datos!T18)/Datos!T18,(Datos!J18+Datos!AD18-(Datos!T18+Datos!AL18))/(Datos!T18+Datos!AL18))," - ")</f>
        <v>-0.13580246913580246</v>
      </c>
      <c r="F18" s="358">
        <f>IF(ISNUMBER(
   IF(D_I="SI",(Datos!K18-Datos!U18)/Datos!U18,(Datos!K18+Datos!AE18-(Datos!U18+Datos!AM18))/(Datos!U18+Datos!AM18))
     ),IF(D_I="SI",(Datos!K18-Datos!U18)/Datos!U18,(Datos!K18+Datos!AE18-(Datos!U18+Datos!AM18))/(Datos!U18+Datos!AM18))," - ")</f>
        <v>0.14102564102564102</v>
      </c>
      <c r="G18" s="359">
        <f>IF(ISNUMBER(
   IF(D_I="SI",(Datos!L18-Datos!V18)/Datos!V18,(Datos!L18+Datos!AF18-(Datos!V18+Datos!AN18))/(Datos!V18+Datos!AN18))
     ),IF(D_I="SI",(Datos!L18-Datos!V18)/Datos!V18,(Datos!L18+Datos!AF18-(Datos!V18+Datos!AN18))/(Datos!V18+Datos!AN18))," - ")</f>
        <v>9.0909090909090912E-2</v>
      </c>
      <c r="H18" s="235">
        <f>IF(ISNUMBER((Datos!M18-Datos!W18)/Datos!W18),(Datos!M18-Datos!W18)/Datos!W18," - ")</f>
        <v>0</v>
      </c>
      <c r="I18" s="360">
        <f>IF(ISNUMBER((Tasas!C18-Datos!BE18)/Datos!BE18),(Tasas!C18-Datos!BE18)/Datos!BE18," - ")</f>
        <v>-4.3922369765066464E-2</v>
      </c>
      <c r="J18" s="359">
        <f>IF(ISNUMBER((Tasas!D18-Datos!BF18)/Datos!BF18),(Tasas!D18-Datos!BF18)/Datos!BF18," - ")</f>
        <v>-0.12359550561797761</v>
      </c>
      <c r="K18" s="361">
        <f>IF(ISNUMBER((Tasas!E18-Datos!BG18)/Datos!BG18),(Tasas!E18-Datos!BG18)/Datos!BG18," - ")</f>
        <v>-2.1819499818774898E-2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-3.7081339712918659E-2</v>
      </c>
      <c r="E20" s="364">
        <f>IF(ISNUMBER(
   IF(D_I="SI",(Datos!J20-Datos!T20)/Datos!T20,(Datos!J20+Datos!AD20-(Datos!T20+Datos!AL20))/(Datos!T20+Datos!AL20))
     ),IF(D_I="SI",(Datos!J20-Datos!T20)/Datos!T20,(Datos!J20+Datos!AD20-(Datos!T20+Datos!AL20))/(Datos!T20+Datos!AL20))," - ")</f>
        <v>4.6728971962616819E-3</v>
      </c>
      <c r="F20" s="364">
        <f>IF(ISNUMBER(
   IF(D_I="SI",(Datos!K20-Datos!U20)/Datos!U20,(Datos!K20+Datos!AE20-(Datos!U20+Datos!AM20))/(Datos!U20+Datos!AM20))
     ),IF(D_I="SI",(Datos!K20-Datos!U20)/Datos!U20,(Datos!K20+Datos!AE20-(Datos!U20+Datos!AM20))/(Datos!U20+Datos!AM20))," - ")</f>
        <v>-4.642857142857143E-2</v>
      </c>
      <c r="G20" s="365">
        <f>IF(ISNUMBER(
   IF(D_I="SI",(Datos!L20-Datos!V20)/Datos!V20,(Datos!L20+Datos!AF20-(Datos!V20+Datos!AN20))/(Datos!V20+Datos!AN20))
     ),IF(D_I="SI",(Datos!L20-Datos!V20)/Datos!V20,(Datos!L20+Datos!AF20-(Datos!V20+Datos!AN20))/(Datos!V20+Datos!AN20))," - ")</f>
        <v>3.5211267605633804E-2</v>
      </c>
      <c r="H20" s="366">
        <f>IF(ISNUMBER((Datos!M20-Datos!W20)/Datos!W20),(Datos!M20-Datos!W20)/Datos!W20," - ")</f>
        <v>-0.46956521739130436</v>
      </c>
      <c r="I20" s="367">
        <f>IF(ISNUMBER((Tasas!C20-Datos!BE20)/Datos!BE20),(Tasas!C20-Datos!BE20)/Datos!BE20," - ")</f>
        <v>8.5614812470327664E-2</v>
      </c>
      <c r="J20" s="365">
        <f>IF(ISNUMBER((Tasas!D20-Datos!BF20)/Datos!BF20),(Tasas!D20-Datos!BF20)/Datos!BF20," - ")</f>
        <v>-0.44373880475492594</v>
      </c>
      <c r="K20" s="368">
        <f>IF(ISNUMBER((Tasas!E20-Datos!BG20)/Datos!BG20),(Tasas!E20-Datos!BG20)/Datos!BG20," - ")</f>
        <v>3.1954737429277243E-2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0.14352392065344224</v>
      </c>
      <c r="E21" s="373">
        <f>IF(ISNUMBER(
   IF(J_V="SI",(Datos!J21-Datos!T21)/Datos!T21,(Datos!J21+Datos!Z21-(Datos!T21+Datos!AH21))/(Datos!T21+Datos!AH21))
     ),IF(J_V="SI",(Datos!J21-Datos!T21)/Datos!T21,(Datos!J21+Datos!Z21-(Datos!T21+Datos!AH21))/(Datos!T21+Datos!AH21))," - ")</f>
        <v>8.4770114942528729E-2</v>
      </c>
      <c r="F21" s="373">
        <f>IF(ISNUMBER(
   IF(J_V="SI",(Datos!K21-Datos!U21)/Datos!U21,(Datos!K21+Datos!AA21-(Datos!U21+Datos!AI21))/(Datos!U21+Datos!AI21))
     ),IF(J_V="SI",(Datos!K21-Datos!U21)/Datos!U21,(Datos!K21+Datos!AA21-(Datos!U21+Datos!AI21))/(Datos!U21+Datos!AI21))," - ")</f>
        <v>0.10513833992094862</v>
      </c>
      <c r="G21" s="374">
        <f>IF(ISNUMBER(
   IF(J_V="SI",(Datos!L21-Datos!V21)/Datos!V21,(Datos!L21+Datos!AB21-(Datos!V21+Datos!AJ21))/(Datos!V21+Datos!AJ21))
     ),IF(J_V="SI",(Datos!L21-Datos!V21)/Datos!V21,(Datos!L21+Datos!AB21-(Datos!V21+Datos!AJ21))/(Datos!V21+Datos!AJ21))," - ")</f>
        <v>0.13525258011950028</v>
      </c>
      <c r="H21" s="375">
        <f>IF(ISNUMBER((Datos!M21-Datos!W21)/Datos!W21),(Datos!M21-Datos!W21)/Datos!W21," - ")</f>
        <v>-2.575107296137339E-2</v>
      </c>
      <c r="I21" s="372">
        <f>IF(ISNUMBER((Tasas!C21-Datos!BE21)/Datos!BE21),(Tasas!C21-Datos!BE21)/Datos!BE21," - ")</f>
        <v>2.7249294600263051E-2</v>
      </c>
      <c r="J21" s="373">
        <f>IF(ISNUMBER((Tasas!D21-Datos!BF21)/Datos!BF21),(Tasas!D21-Datos!BF21)/Datos!BF21," - ")</f>
        <v>-0.15471543710297492</v>
      </c>
      <c r="K21" s="374">
        <f>IF(ISNUMBER((Tasas!E21-Datos!BG21)/Datos!BG21),(Tasas!E21-Datos!BG21)/Datos!BG21," - ")</f>
        <v>1.0907404285581315E-2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0.38227632144755574</v>
      </c>
      <c r="E23" s="283">
        <f t="shared" si="1"/>
        <v>0.19805539138014211</v>
      </c>
      <c r="F23" s="283">
        <f t="shared" si="1"/>
        <v>0.83373108188845824</v>
      </c>
      <c r="G23" s="284">
        <f t="shared" si="1"/>
        <v>0.1582861264862398</v>
      </c>
      <c r="H23" s="290">
        <f t="shared" si="1"/>
        <v>0.8004656079769803</v>
      </c>
      <c r="I23" s="282">
        <f t="shared" si="1"/>
        <v>0.21496024481355369</v>
      </c>
      <c r="J23" s="283">
        <f t="shared" si="1"/>
        <v>0.20355549190506741</v>
      </c>
      <c r="K23" s="284">
        <f t="shared" si="1"/>
        <v>0.15647545402957611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UoqIGlVSWEV1fWXBssXIngRyeY2exG7i/mk6TlptkqGLW6RwHTeNX6Y8lwf5wLchbQQtd1KmsEmMk0Cy7JlPw==" saltValue="k6QigEV+U+UjF8n/WyFMH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